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trlProps/ctrlProp2.xml" ContentType="application/vnd.ms-excel.controlproperties+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192.168.0.130\csea-nas\Amministrazione\Contabilità\2024\Gara payroll\Allegati payroll MAX\"/>
    </mc:Choice>
  </mc:AlternateContent>
  <xr:revisionPtr revIDLastSave="0" documentId="13_ncr:1_{88EEA98A-CA4D-4C64-A8B1-8C25E6957469}" xr6:coauthVersionLast="47" xr6:coauthVersionMax="47" xr10:uidLastSave="{00000000-0000-0000-0000-000000000000}"/>
  <bookViews>
    <workbookView xWindow="-120" yWindow="-120" windowWidth="29040" windowHeight="15720" tabRatio="896" activeTab="13" xr2:uid="{00000000-000D-0000-FFFF-FFFF00000000}"/>
  </bookViews>
  <sheets>
    <sheet name="SI_1" sheetId="47" r:id="rId1"/>
    <sheet name="t1" sheetId="2" r:id="rId2"/>
    <sheet name="t2" sheetId="69" r:id="rId3"/>
    <sheet name="t2A" sheetId="68" r:id="rId4"/>
    <sheet name="t3" sheetId="20" r:id="rId5"/>
    <sheet name="t4" sheetId="9" r:id="rId6"/>
    <sheet name="t5" sheetId="8" r:id="rId7"/>
    <sheet name="t6" sheetId="7" r:id="rId8"/>
    <sheet name="t7" sheetId="6" r:id="rId9"/>
    <sheet name="t8" sheetId="5" r:id="rId10"/>
    <sheet name="t9" sheetId="4" r:id="rId11"/>
    <sheet name="t10" sheetId="18" r:id="rId12"/>
    <sheet name="t11" sheetId="43" r:id="rId13"/>
    <sheet name="t12" sheetId="15" r:id="rId14"/>
    <sheet name="t13" sheetId="14" r:id="rId15"/>
    <sheet name="t14" sheetId="23" r:id="rId16"/>
    <sheet name="Tabella Riconciliazione" sheetId="66" r:id="rId17"/>
    <sheet name="Valori Medi" sheetId="58" r:id="rId18"/>
    <sheet name="Squadratura 1" sheetId="31" r:id="rId19"/>
    <sheet name="Squadratura 2" sheetId="30" r:id="rId20"/>
    <sheet name="Squadratura 3" sheetId="32" r:id="rId21"/>
    <sheet name="Squadratura 4" sheetId="33" r:id="rId22"/>
    <sheet name="Incongruenze 1 e 11" sheetId="35" r:id="rId23"/>
    <sheet name="Incongruenza 2" sheetId="29" r:id="rId24"/>
    <sheet name="Incongruenza 4 e controlli t14" sheetId="46" r:id="rId25"/>
    <sheet name="Incongruenza 5" sheetId="44" r:id="rId26"/>
    <sheet name="Incongruenza 6" sheetId="45" r:id="rId27"/>
    <sheet name="Incongruenza 7" sheetId="48" r:id="rId28"/>
    <sheet name="Incongruenza 8" sheetId="64" r:id="rId29"/>
    <sheet name="Incongruenza 10" sheetId="70" r:id="rId30"/>
    <sheet name="Incongruenze 12" sheetId="65" r:id="rId31"/>
    <sheet name="Incongruenza 14" sheetId="67" r:id="rId32"/>
  </sheets>
  <definedNames>
    <definedName name="_xlnm._FilterDatabase" localSheetId="9" hidden="1">'t8'!$A$3:$AB$8</definedName>
    <definedName name="_xlnm.Print_Area" localSheetId="22">'Incongruenze 1 e 11'!$A$1:$E$21</definedName>
    <definedName name="_xlnm.Print_Area" localSheetId="30">'Incongruenze 12'!$A$1:$D$14</definedName>
    <definedName name="_xlnm.Print_Area" localSheetId="0">SI_1!$A$1:$H$221</definedName>
    <definedName name="_xlnm.Print_Area" localSheetId="18">'Squadratura 1'!$A$1:$J$8</definedName>
    <definedName name="_xlnm.Print_Area" localSheetId="19">'Squadratura 2'!$A$1:$L$9</definedName>
    <definedName name="_xlnm.Print_Area" localSheetId="20">'Squadratura 3'!$A$1:$Z$10</definedName>
    <definedName name="_xlnm.Print_Area" localSheetId="21">'Squadratura 4'!$A$1:$I$8</definedName>
    <definedName name="_xlnm.Print_Area" localSheetId="1">'t1'!$A$1:$AJ$11</definedName>
    <definedName name="_xlnm.Print_Area" localSheetId="11">'t10'!$A$1:$AV$10</definedName>
    <definedName name="_xlnm.Print_Area" localSheetId="12">'t11'!$A$1:$AV$11</definedName>
    <definedName name="_xlnm.Print_Area" localSheetId="13">'t12'!$A$1:$AI$10</definedName>
    <definedName name="_xlnm.Print_Area" localSheetId="14">'t13'!$A$1:$AH$9</definedName>
    <definedName name="_xlnm.Print_Area" localSheetId="15">'t14'!$A$1:$D$34</definedName>
    <definedName name="_xlnm.Print_Area" localSheetId="3">t2A!$A$1:$S$14</definedName>
    <definedName name="_xlnm.Print_Area" localSheetId="4">'t3'!$A$1:$P$11</definedName>
    <definedName name="_xlnm.Print_Area" localSheetId="5" xml:space="preserve">   't4'!$A$1:$E$19</definedName>
    <definedName name="_xlnm.Print_Area" localSheetId="6">'t5'!$A$1:$V$12</definedName>
    <definedName name="_xlnm.Print_Area" localSheetId="8">'t7'!$A$1:$X$10</definedName>
    <definedName name="_xlnm.Print_Area" localSheetId="9">'t8'!$A$1:$AB$11</definedName>
    <definedName name="_xlnm.Print_Area" localSheetId="10">'t9'!$A$1:$P$10</definedName>
    <definedName name="_xlnm.Print_Area" localSheetId="17">'Valori Medi'!$A$1:$T$10</definedName>
    <definedName name="CODI_ISTITUZIONE">#REF!</definedName>
    <definedName name="CODI_ISTITUZIONE2" localSheetId="31">#REF!</definedName>
    <definedName name="CODI_ISTITUZIONE2" localSheetId="28">#REF!</definedName>
    <definedName name="CODI_ISTITUZIONE2" localSheetId="30">#REF!</definedName>
    <definedName name="CODI_ISTITUZIONE2">#REF!</definedName>
    <definedName name="DESC_ISTITUZIONE">#REF!</definedName>
    <definedName name="DESC_ISTITUZIONE2" localSheetId="31">#REF!</definedName>
    <definedName name="DESC_ISTITUZIONE2" localSheetId="28">#REF!</definedName>
    <definedName name="DESC_ISTITUZIONE2" localSheetId="30">#REF!</definedName>
    <definedName name="DESC_ISTITUZIONE2">#REF!</definedName>
    <definedName name="_xlnm.Print_Titles" localSheetId="23">'Incongruenza 2'!$1:$5</definedName>
    <definedName name="_xlnm.Print_Titles" localSheetId="25">'Incongruenza 5'!$1:$5</definedName>
    <definedName name="_xlnm.Print_Titles" localSheetId="26">'Incongruenza 6'!$1:$5</definedName>
    <definedName name="_xlnm.Print_Titles" localSheetId="27">'Incongruenza 7'!$1:$4</definedName>
    <definedName name="_xlnm.Print_Titles" localSheetId="28">'Incongruenza 8'!$1:$5</definedName>
    <definedName name="_xlnm.Print_Titles" localSheetId="22">'Incongruenze 1 e 11'!$4:$4</definedName>
    <definedName name="_xlnm.Print_Titles" localSheetId="30">'Incongruenze 12'!$4:$4</definedName>
    <definedName name="_xlnm.Print_Titles" localSheetId="18">'Squadratura 1'!$1:$5</definedName>
    <definedName name="_xlnm.Print_Titles" localSheetId="19">'Squadratura 2'!$1:$6</definedName>
    <definedName name="_xlnm.Print_Titles" localSheetId="20">'Squadratura 3'!$A:$B,'Squadratura 3'!$1:$7</definedName>
    <definedName name="_xlnm.Print_Titles" localSheetId="21">'Squadratura 4'!$1:$5</definedName>
    <definedName name="_xlnm.Print_Titles" localSheetId="1">'t1'!$1:$5</definedName>
    <definedName name="_xlnm.Print_Titles" localSheetId="11">'t10'!$A:$B,'t10'!$1:$5</definedName>
    <definedName name="_xlnm.Print_Titles" localSheetId="12">'t11'!$1:$7</definedName>
    <definedName name="_xlnm.Print_Titles" localSheetId="13">'t12'!$1:$5</definedName>
    <definedName name="_xlnm.Print_Titles" localSheetId="14">'t13'!$1:$5</definedName>
    <definedName name="_xlnm.Print_Titles" localSheetId="2">'t2'!$1:$5</definedName>
    <definedName name="_xlnm.Print_Titles" localSheetId="4">'t3'!$1:$5</definedName>
    <definedName name="_xlnm.Print_Titles" localSheetId="5">'t4'!$A:$B,'t4'!$1:$14</definedName>
    <definedName name="_xlnm.Print_Titles" localSheetId="6">'t5'!$1:$6</definedName>
    <definedName name="_xlnm.Print_Titles" localSheetId="7">'t6'!$1:$6</definedName>
    <definedName name="_xlnm.Print_Titles" localSheetId="8">'t7'!$1:$5</definedName>
    <definedName name="_xlnm.Print_Titles" localSheetId="9">'t8'!$1:$5</definedName>
    <definedName name="_xlnm.Print_Titles" localSheetId="10">'t9'!$1:$5</definedName>
    <definedName name="_xlnm.Print_Titles" localSheetId="17">'Valori Medi'!$A:$E,'Valori Medi'!$1:$5</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9" i="43" l="1"/>
  <c r="X8" i="43"/>
  <c r="W9" i="43"/>
  <c r="AV9" i="43"/>
  <c r="AV8" i="43"/>
  <c r="AV10" i="43" s="1"/>
  <c r="AU9" i="43"/>
  <c r="AU8" i="43"/>
  <c r="AU10" i="43" s="1"/>
  <c r="K56" i="47"/>
  <c r="H6" i="70"/>
  <c r="A10" i="70"/>
  <c r="F233" i="47"/>
  <c r="G6" i="70"/>
  <c r="B6" i="70"/>
  <c r="A6" i="70"/>
  <c r="H7" i="70"/>
  <c r="I7" i="70"/>
  <c r="G7" i="70"/>
  <c r="C12" i="68"/>
  <c r="A12" i="68"/>
  <c r="AJ18" i="69"/>
  <c r="AI18" i="69"/>
  <c r="AH18" i="69"/>
  <c r="AG18" i="69"/>
  <c r="AF18" i="69"/>
  <c r="AE18" i="69"/>
  <c r="AD18" i="69"/>
  <c r="AC18" i="69"/>
  <c r="AB18" i="69"/>
  <c r="AA18" i="69"/>
  <c r="L17" i="69"/>
  <c r="K17" i="69"/>
  <c r="J17" i="69"/>
  <c r="I17" i="69"/>
  <c r="H17" i="69"/>
  <c r="H18" i="69"/>
  <c r="G17" i="69"/>
  <c r="F17" i="69"/>
  <c r="F18" i="69" s="1"/>
  <c r="E17" i="69"/>
  <c r="D17" i="69"/>
  <c r="C17" i="69"/>
  <c r="C18" i="69"/>
  <c r="AH7" i="69"/>
  <c r="AG7" i="69"/>
  <c r="AF7" i="69"/>
  <c r="AE7" i="69"/>
  <c r="AD7" i="69"/>
  <c r="AC7" i="69"/>
  <c r="AB7" i="69"/>
  <c r="AA7" i="69"/>
  <c r="J6" i="69"/>
  <c r="J7" i="69"/>
  <c r="I6" i="69"/>
  <c r="H6" i="69"/>
  <c r="H7" i="69" s="1"/>
  <c r="G6" i="69"/>
  <c r="F6" i="69"/>
  <c r="E6" i="69"/>
  <c r="E7" i="69" s="1"/>
  <c r="B14" i="35" s="1"/>
  <c r="D6" i="69"/>
  <c r="D6" i="70" s="1"/>
  <c r="C6" i="69"/>
  <c r="C6" i="70" s="1"/>
  <c r="I7" i="69"/>
  <c r="B16" i="35" s="1"/>
  <c r="G7" i="69"/>
  <c r="B15" i="35" s="1"/>
  <c r="F7" i="69"/>
  <c r="C7" i="69"/>
  <c r="T9" i="43"/>
  <c r="S9" i="43"/>
  <c r="S10" i="43" s="1"/>
  <c r="T8" i="43"/>
  <c r="S8" i="43"/>
  <c r="AQ10" i="43"/>
  <c r="AR10" i="43"/>
  <c r="B26" i="66"/>
  <c r="B25" i="66"/>
  <c r="B9" i="66"/>
  <c r="B7" i="66"/>
  <c r="B8" i="66"/>
  <c r="V7" i="8"/>
  <c r="D6" i="44" s="1"/>
  <c r="V8" i="8"/>
  <c r="V9" i="8" s="1"/>
  <c r="U8" i="8"/>
  <c r="D7" i="31" s="1"/>
  <c r="U7" i="8"/>
  <c r="R9" i="8"/>
  <c r="Q9" i="8"/>
  <c r="AN7" i="15"/>
  <c r="AP7" i="15" s="1"/>
  <c r="AK5" i="15" s="1"/>
  <c r="F236" i="47" s="1"/>
  <c r="AO7" i="15"/>
  <c r="AN6" i="15"/>
  <c r="AP6" i="15"/>
  <c r="AO6" i="15"/>
  <c r="V8" i="7"/>
  <c r="E7" i="31" s="1"/>
  <c r="E8" i="31" s="1"/>
  <c r="V7" i="7"/>
  <c r="V9" i="7"/>
  <c r="U8" i="7"/>
  <c r="U9" i="7"/>
  <c r="C228" i="47" s="1"/>
  <c r="U7" i="7"/>
  <c r="AG7" i="14"/>
  <c r="AG6" i="14"/>
  <c r="C6" i="14"/>
  <c r="D6" i="14"/>
  <c r="D8" i="14" s="1"/>
  <c r="E6" i="14"/>
  <c r="F6" i="14"/>
  <c r="D6" i="64" s="1"/>
  <c r="G6" i="14"/>
  <c r="H6" i="14"/>
  <c r="C7" i="14"/>
  <c r="D7" i="14"/>
  <c r="E7" i="14"/>
  <c r="E8" i="14" s="1"/>
  <c r="F7" i="14"/>
  <c r="D7" i="64" s="1"/>
  <c r="G7" i="14"/>
  <c r="H7" i="14"/>
  <c r="T9" i="7"/>
  <c r="S9" i="7"/>
  <c r="D13" i="68"/>
  <c r="E13" i="68"/>
  <c r="F13" i="68"/>
  <c r="G13" i="68"/>
  <c r="H13" i="68"/>
  <c r="I13" i="68"/>
  <c r="T13" i="68" s="1"/>
  <c r="C224" i="47" s="1"/>
  <c r="J13" i="68"/>
  <c r="K13" i="68"/>
  <c r="E6" i="2"/>
  <c r="G6" i="2"/>
  <c r="G8" i="2" s="1"/>
  <c r="I6" i="2"/>
  <c r="I8" i="2" s="1"/>
  <c r="E7" i="2"/>
  <c r="K7" i="2" s="1"/>
  <c r="G7" i="2"/>
  <c r="I7" i="2"/>
  <c r="F6" i="2"/>
  <c r="H6" i="2"/>
  <c r="H8" i="2" s="1"/>
  <c r="J6" i="2"/>
  <c r="J8" i="2"/>
  <c r="F7" i="2"/>
  <c r="H7" i="2"/>
  <c r="L7" i="2" s="1"/>
  <c r="J7" i="2"/>
  <c r="A1" i="2"/>
  <c r="A1" i="69" s="1"/>
  <c r="A1" i="68"/>
  <c r="AI6" i="15"/>
  <c r="AI8" i="15" s="1"/>
  <c r="AI7" i="15"/>
  <c r="AE8" i="15"/>
  <c r="AI4" i="2"/>
  <c r="AA4" i="2"/>
  <c r="C7" i="15"/>
  <c r="F7" i="44" s="1"/>
  <c r="E7" i="58"/>
  <c r="O7" i="58" s="1"/>
  <c r="C6" i="15"/>
  <c r="E6" i="58" s="1"/>
  <c r="K5" i="58"/>
  <c r="G6" i="15"/>
  <c r="G7" i="15"/>
  <c r="F7" i="15"/>
  <c r="D7" i="15"/>
  <c r="E7" i="15"/>
  <c r="H7" i="15"/>
  <c r="I7" i="15"/>
  <c r="K7" i="15" s="1"/>
  <c r="J7" i="15"/>
  <c r="AA8" i="14"/>
  <c r="F7" i="67"/>
  <c r="F6" i="67"/>
  <c r="B7" i="67"/>
  <c r="A7" i="67"/>
  <c r="B6" i="67"/>
  <c r="A6" i="67"/>
  <c r="C8" i="43"/>
  <c r="E8" i="43"/>
  <c r="G8" i="43"/>
  <c r="I8" i="43"/>
  <c r="K8" i="43"/>
  <c r="M8" i="43"/>
  <c r="O8" i="43"/>
  <c r="O10" i="43" s="1"/>
  <c r="Q8" i="43"/>
  <c r="U8" i="43"/>
  <c r="D8" i="43"/>
  <c r="D10" i="43" s="1"/>
  <c r="F8" i="43"/>
  <c r="H8" i="43"/>
  <c r="J8" i="43"/>
  <c r="L8" i="43"/>
  <c r="N8" i="43"/>
  <c r="P8" i="43"/>
  <c r="R8" i="43"/>
  <c r="V8" i="43"/>
  <c r="B20" i="65"/>
  <c r="C29" i="23"/>
  <c r="C28" i="23"/>
  <c r="C27" i="23"/>
  <c r="C26" i="23"/>
  <c r="C25" i="23"/>
  <c r="C24" i="23"/>
  <c r="C23" i="23"/>
  <c r="C22" i="23"/>
  <c r="C21" i="23"/>
  <c r="C20" i="23"/>
  <c r="C19" i="23"/>
  <c r="C18" i="23"/>
  <c r="C17" i="23"/>
  <c r="C16" i="23"/>
  <c r="C15" i="23"/>
  <c r="C14" i="23"/>
  <c r="C13" i="23"/>
  <c r="C12" i="23"/>
  <c r="C11" i="23"/>
  <c r="C10" i="23"/>
  <c r="C9" i="23"/>
  <c r="C8" i="23"/>
  <c r="C7" i="23"/>
  <c r="C6" i="23"/>
  <c r="C5" i="23"/>
  <c r="C4" i="23"/>
  <c r="AF8" i="14"/>
  <c r="AE8" i="14"/>
  <c r="AD8" i="14"/>
  <c r="AC8" i="14"/>
  <c r="AB8" i="14"/>
  <c r="J6" i="15"/>
  <c r="J8" i="15" s="1"/>
  <c r="I6" i="15"/>
  <c r="I8" i="15" s="1"/>
  <c r="H6" i="15"/>
  <c r="F6" i="15"/>
  <c r="D6" i="15"/>
  <c r="E6" i="15"/>
  <c r="E8" i="15" s="1"/>
  <c r="AH8" i="15"/>
  <c r="AG8" i="15"/>
  <c r="AF8" i="15"/>
  <c r="AD8" i="15"/>
  <c r="AC8" i="15"/>
  <c r="AB8" i="15"/>
  <c r="AA8" i="15"/>
  <c r="V9" i="43"/>
  <c r="U9" i="43"/>
  <c r="U10" i="43" s="1"/>
  <c r="R9" i="43"/>
  <c r="Q9" i="43"/>
  <c r="P9" i="43"/>
  <c r="O9" i="43"/>
  <c r="C9" i="43"/>
  <c r="E9" i="43"/>
  <c r="G9" i="43"/>
  <c r="I9" i="43"/>
  <c r="K9" i="43"/>
  <c r="K10" i="43" s="1"/>
  <c r="M9" i="43"/>
  <c r="N9" i="43"/>
  <c r="L9" i="43"/>
  <c r="J9" i="43"/>
  <c r="J10" i="43" s="1"/>
  <c r="H9" i="43"/>
  <c r="F9" i="43"/>
  <c r="D9" i="43"/>
  <c r="AT10" i="43"/>
  <c r="AS10" i="43"/>
  <c r="AP10" i="43"/>
  <c r="AO10" i="43"/>
  <c r="AN10" i="43"/>
  <c r="AM10" i="43"/>
  <c r="AL10" i="43"/>
  <c r="AK10" i="43"/>
  <c r="AJ10" i="43"/>
  <c r="AI10" i="43"/>
  <c r="AH10" i="43"/>
  <c r="AG10" i="43"/>
  <c r="AF10" i="43"/>
  <c r="AE10" i="43"/>
  <c r="AD10" i="43"/>
  <c r="AC10" i="43"/>
  <c r="AB10" i="43"/>
  <c r="AA10" i="43"/>
  <c r="D7" i="2"/>
  <c r="C7" i="2"/>
  <c r="C7" i="31"/>
  <c r="D6" i="2"/>
  <c r="C6" i="2"/>
  <c r="C6" i="33" s="1"/>
  <c r="AH8" i="2"/>
  <c r="AG8" i="2"/>
  <c r="AF8" i="2"/>
  <c r="AE8" i="2"/>
  <c r="AD8" i="2"/>
  <c r="AC8" i="2"/>
  <c r="AB8" i="2"/>
  <c r="AA8" i="2"/>
  <c r="AJ7" i="2"/>
  <c r="AI7" i="2"/>
  <c r="AJ6" i="2"/>
  <c r="AJ8" i="2" s="1"/>
  <c r="AI6" i="2"/>
  <c r="K33" i="47"/>
  <c r="K211" i="47"/>
  <c r="B21" i="66"/>
  <c r="A3" i="32"/>
  <c r="A30" i="23"/>
  <c r="R9" i="7"/>
  <c r="Q9" i="7"/>
  <c r="N9" i="8"/>
  <c r="M9" i="8"/>
  <c r="A10" i="2"/>
  <c r="E35" i="23"/>
  <c r="E32" i="23"/>
  <c r="B30" i="66"/>
  <c r="B27" i="66"/>
  <c r="B24" i="66"/>
  <c r="B22" i="66"/>
  <c r="B18" i="66"/>
  <c r="B15" i="66"/>
  <c r="B14" i="66"/>
  <c r="B6" i="66"/>
  <c r="C28" i="66"/>
  <c r="F32" i="66" s="1"/>
  <c r="C237" i="47" s="1"/>
  <c r="B14" i="65"/>
  <c r="A14" i="65"/>
  <c r="B13" i="65"/>
  <c r="A13" i="65"/>
  <c r="B7" i="65"/>
  <c r="A7" i="65"/>
  <c r="B6" i="65"/>
  <c r="A6" i="65"/>
  <c r="B5" i="65"/>
  <c r="A5" i="65"/>
  <c r="B2" i="23"/>
  <c r="A9" i="58"/>
  <c r="B20" i="35"/>
  <c r="C20" i="35"/>
  <c r="C19" i="35"/>
  <c r="A20" i="35"/>
  <c r="B19" i="35"/>
  <c r="A19" i="35"/>
  <c r="B7" i="64"/>
  <c r="A7" i="64"/>
  <c r="B6" i="64"/>
  <c r="A6" i="64"/>
  <c r="C27" i="46"/>
  <c r="C28" i="46"/>
  <c r="C29" i="46"/>
  <c r="C30" i="46"/>
  <c r="B27" i="46"/>
  <c r="B28" i="46"/>
  <c r="B29" i="46"/>
  <c r="B30" i="46"/>
  <c r="A27" i="46"/>
  <c r="A28" i="46"/>
  <c r="A29" i="46"/>
  <c r="A30" i="46"/>
  <c r="P9" i="8"/>
  <c r="O9" i="8"/>
  <c r="AB7" i="5"/>
  <c r="AA7" i="5"/>
  <c r="E8" i="30"/>
  <c r="AB6" i="5"/>
  <c r="AA6" i="5"/>
  <c r="AA8" i="5" s="1"/>
  <c r="C230" i="47" s="1"/>
  <c r="X8" i="5"/>
  <c r="W8" i="5"/>
  <c r="X7" i="6"/>
  <c r="W7" i="6"/>
  <c r="D8" i="30"/>
  <c r="W6" i="6"/>
  <c r="W8" i="6" s="1"/>
  <c r="X6" i="6"/>
  <c r="X8" i="6" s="1"/>
  <c r="T8" i="6"/>
  <c r="S8" i="6"/>
  <c r="C7" i="35"/>
  <c r="B7" i="35"/>
  <c r="E7" i="35" s="1"/>
  <c r="V9" i="32"/>
  <c r="V8" i="32"/>
  <c r="V10" i="32" s="1"/>
  <c r="J9" i="32"/>
  <c r="J8" i="32"/>
  <c r="J10" i="32"/>
  <c r="E16" i="46"/>
  <c r="E14" i="46"/>
  <c r="E15" i="46"/>
  <c r="C16" i="46"/>
  <c r="G16" i="46" s="1"/>
  <c r="B16" i="46"/>
  <c r="A16" i="46"/>
  <c r="K23" i="47"/>
  <c r="K24" i="47"/>
  <c r="K25" i="47"/>
  <c r="K26" i="47"/>
  <c r="K22" i="47"/>
  <c r="A6" i="48"/>
  <c r="B6" i="48"/>
  <c r="E6" i="48"/>
  <c r="A7" i="48"/>
  <c r="B7" i="48"/>
  <c r="E7" i="48"/>
  <c r="A6" i="45"/>
  <c r="B6" i="45"/>
  <c r="A7" i="45"/>
  <c r="B7" i="45"/>
  <c r="C4" i="44"/>
  <c r="A6" i="44"/>
  <c r="B6" i="44"/>
  <c r="A7" i="44"/>
  <c r="B7" i="44"/>
  <c r="A6" i="46"/>
  <c r="B6" i="46"/>
  <c r="C6" i="46"/>
  <c r="A7" i="46"/>
  <c r="B7" i="46"/>
  <c r="C7" i="46"/>
  <c r="C31" i="46" s="1"/>
  <c r="A8" i="46"/>
  <c r="B8" i="46"/>
  <c r="C8" i="46"/>
  <c r="A9" i="46"/>
  <c r="B9" i="46"/>
  <c r="C9" i="46"/>
  <c r="A10" i="46"/>
  <c r="B10" i="46"/>
  <c r="C10" i="46"/>
  <c r="A11" i="46"/>
  <c r="B11" i="46"/>
  <c r="C11" i="46"/>
  <c r="A12" i="46"/>
  <c r="B12" i="46"/>
  <c r="C12" i="46"/>
  <c r="A13" i="46"/>
  <c r="B13" i="46"/>
  <c r="C13" i="46"/>
  <c r="A14" i="46"/>
  <c r="B14" i="46"/>
  <c r="C14" i="46"/>
  <c r="G14" i="46"/>
  <c r="A15" i="46"/>
  <c r="B15" i="46"/>
  <c r="C15" i="46"/>
  <c r="G15" i="46"/>
  <c r="A17" i="46"/>
  <c r="B17" i="46"/>
  <c r="C17" i="46"/>
  <c r="A18" i="46"/>
  <c r="B18" i="46"/>
  <c r="C18" i="46"/>
  <c r="A19" i="46"/>
  <c r="B19" i="46"/>
  <c r="C19" i="46"/>
  <c r="A20" i="46"/>
  <c r="B20" i="46"/>
  <c r="C20" i="46"/>
  <c r="A21" i="46"/>
  <c r="B21" i="46"/>
  <c r="C21" i="46"/>
  <c r="A22" i="46"/>
  <c r="B22" i="46"/>
  <c r="C22" i="46"/>
  <c r="A23" i="46"/>
  <c r="B23" i="46"/>
  <c r="C23" i="46"/>
  <c r="A24" i="46"/>
  <c r="B24" i="46"/>
  <c r="C24" i="46"/>
  <c r="E24" i="46" s="1"/>
  <c r="A25" i="46"/>
  <c r="B25" i="46"/>
  <c r="C25" i="46"/>
  <c r="A26" i="46"/>
  <c r="B26" i="46"/>
  <c r="C26" i="46"/>
  <c r="A6" i="29"/>
  <c r="B6" i="29"/>
  <c r="A7" i="29"/>
  <c r="B7" i="29"/>
  <c r="C7" i="29"/>
  <c r="E7" i="29" s="1"/>
  <c r="C13" i="35"/>
  <c r="C14" i="35"/>
  <c r="C15" i="35"/>
  <c r="C16" i="35"/>
  <c r="B5" i="35"/>
  <c r="E5" i="35" s="1"/>
  <c r="C5" i="35"/>
  <c r="B6" i="35"/>
  <c r="E6" i="35" s="1"/>
  <c r="C6" i="35"/>
  <c r="C4" i="33"/>
  <c r="A6" i="33"/>
  <c r="B6" i="33"/>
  <c r="A7" i="33"/>
  <c r="B7" i="33"/>
  <c r="A8" i="33"/>
  <c r="C6" i="32"/>
  <c r="O6" i="32"/>
  <c r="A8" i="32"/>
  <c r="B8" i="32"/>
  <c r="D8" i="32"/>
  <c r="E8" i="32"/>
  <c r="E10" i="32"/>
  <c r="F8" i="32"/>
  <c r="F9" i="32"/>
  <c r="F10" i="32" s="1"/>
  <c r="G8" i="32"/>
  <c r="G10" i="32" s="1"/>
  <c r="H8" i="32"/>
  <c r="H10" i="32" s="1"/>
  <c r="I8" i="32"/>
  <c r="I10" i="32"/>
  <c r="I9" i="32"/>
  <c r="P8" i="32"/>
  <c r="P10" i="32" s="1"/>
  <c r="Q8" i="32"/>
  <c r="Q10" i="32" s="1"/>
  <c r="R8" i="32"/>
  <c r="R10" i="32" s="1"/>
  <c r="R9" i="32"/>
  <c r="S8" i="32"/>
  <c r="T8" i="32"/>
  <c r="T10" i="32" s="1"/>
  <c r="U8" i="32"/>
  <c r="U10" i="32" s="1"/>
  <c r="U9" i="32"/>
  <c r="A9" i="32"/>
  <c r="B9" i="32"/>
  <c r="D9" i="32"/>
  <c r="D10" i="32"/>
  <c r="E9" i="32"/>
  <c r="G9" i="32"/>
  <c r="H9" i="32"/>
  <c r="P9" i="32"/>
  <c r="Q9" i="32"/>
  <c r="S9" i="32"/>
  <c r="S10" i="32"/>
  <c r="T9" i="32"/>
  <c r="A10" i="32"/>
  <c r="A3" i="30"/>
  <c r="C5" i="30"/>
  <c r="H5" i="30"/>
  <c r="A7" i="30"/>
  <c r="B7" i="30"/>
  <c r="A8" i="30"/>
  <c r="B8" i="30"/>
  <c r="A9" i="30"/>
  <c r="A3" i="31"/>
  <c r="C4" i="31"/>
  <c r="H4" i="31"/>
  <c r="I4" i="31"/>
  <c r="A6" i="31"/>
  <c r="B6" i="31"/>
  <c r="A7" i="31"/>
  <c r="B7" i="31"/>
  <c r="A8" i="31"/>
  <c r="C5" i="58"/>
  <c r="F5" i="58"/>
  <c r="J5" i="58"/>
  <c r="L5" i="58"/>
  <c r="N5" i="58"/>
  <c r="O5" i="58"/>
  <c r="T5" i="58"/>
  <c r="A6" i="58"/>
  <c r="B6" i="58"/>
  <c r="A7" i="58"/>
  <c r="B7" i="58"/>
  <c r="A6" i="14"/>
  <c r="B6" i="14"/>
  <c r="A7" i="14"/>
  <c r="B7" i="14"/>
  <c r="A6" i="15"/>
  <c r="B6" i="15"/>
  <c r="A7" i="15"/>
  <c r="B7" i="15"/>
  <c r="A8" i="43"/>
  <c r="B8" i="43"/>
  <c r="A9" i="43"/>
  <c r="B9" i="43"/>
  <c r="A6" i="18"/>
  <c r="B6" i="18"/>
  <c r="AU6" i="18"/>
  <c r="L8" i="32"/>
  <c r="AU7" i="18"/>
  <c r="AV6" i="18"/>
  <c r="X8" i="32" s="1"/>
  <c r="X10" i="32" s="1"/>
  <c r="A7" i="18"/>
  <c r="B7" i="18"/>
  <c r="AV7" i="18"/>
  <c r="X9" i="32"/>
  <c r="C8" i="18"/>
  <c r="D8" i="18"/>
  <c r="E8" i="18"/>
  <c r="F8" i="18"/>
  <c r="G8" i="18"/>
  <c r="H8" i="18"/>
  <c r="I8" i="18"/>
  <c r="J8" i="18"/>
  <c r="K8" i="18"/>
  <c r="L8" i="18"/>
  <c r="M8" i="18"/>
  <c r="N8" i="18"/>
  <c r="O8" i="18"/>
  <c r="P8" i="18"/>
  <c r="Q8" i="18"/>
  <c r="R8" i="18"/>
  <c r="S8" i="18"/>
  <c r="T8" i="18"/>
  <c r="U8" i="18"/>
  <c r="V8" i="18"/>
  <c r="W8" i="18"/>
  <c r="X8" i="18"/>
  <c r="Y8" i="18"/>
  <c r="Z8" i="18"/>
  <c r="AA8" i="18"/>
  <c r="AB8" i="18"/>
  <c r="AC8" i="18"/>
  <c r="AD8" i="18"/>
  <c r="AE8" i="18"/>
  <c r="AF8" i="18"/>
  <c r="AG8" i="18"/>
  <c r="AH8" i="18"/>
  <c r="AI8" i="18"/>
  <c r="AJ8" i="18"/>
  <c r="AK8" i="18"/>
  <c r="AL8" i="18"/>
  <c r="AM8" i="18"/>
  <c r="AN8" i="18"/>
  <c r="AO8" i="18"/>
  <c r="AP8" i="18"/>
  <c r="AQ8" i="18"/>
  <c r="AR8" i="18"/>
  <c r="AS8" i="18"/>
  <c r="AT8" i="18"/>
  <c r="A6" i="4"/>
  <c r="B6" i="4"/>
  <c r="O6" i="4"/>
  <c r="P6" i="4"/>
  <c r="P8" i="4" s="1"/>
  <c r="C231" i="47" s="1"/>
  <c r="A7" i="4"/>
  <c r="B7" i="4"/>
  <c r="O7" i="4"/>
  <c r="F8" i="30"/>
  <c r="P7" i="4"/>
  <c r="K8" i="30" s="1"/>
  <c r="C8" i="4"/>
  <c r="D8" i="4"/>
  <c r="E8" i="4"/>
  <c r="F8" i="4"/>
  <c r="G8" i="4"/>
  <c r="H8" i="4"/>
  <c r="I8" i="4"/>
  <c r="J8" i="4"/>
  <c r="K8" i="4"/>
  <c r="L8" i="4"/>
  <c r="M8" i="4"/>
  <c r="N8" i="4"/>
  <c r="A6" i="5"/>
  <c r="B6" i="5"/>
  <c r="A7" i="5"/>
  <c r="B7" i="5"/>
  <c r="C8" i="5"/>
  <c r="D8" i="5"/>
  <c r="E8" i="5"/>
  <c r="F8" i="5"/>
  <c r="G8" i="5"/>
  <c r="H8" i="5"/>
  <c r="I8" i="5"/>
  <c r="J8" i="5"/>
  <c r="K8" i="5"/>
  <c r="L8" i="5"/>
  <c r="M8" i="5"/>
  <c r="N8" i="5"/>
  <c r="O8" i="5"/>
  <c r="P8" i="5"/>
  <c r="Q8" i="5"/>
  <c r="R8" i="5"/>
  <c r="S8" i="5"/>
  <c r="T8" i="5"/>
  <c r="U8" i="5"/>
  <c r="V8" i="5"/>
  <c r="Y8" i="5"/>
  <c r="Z8" i="5"/>
  <c r="A6" i="6"/>
  <c r="B6" i="6"/>
  <c r="A7" i="6"/>
  <c r="B7" i="6"/>
  <c r="C8" i="6"/>
  <c r="D8" i="6"/>
  <c r="E8" i="6"/>
  <c r="F8" i="6"/>
  <c r="G8" i="6"/>
  <c r="H8" i="6"/>
  <c r="I8" i="6"/>
  <c r="J8" i="6"/>
  <c r="K8" i="6"/>
  <c r="L8" i="6"/>
  <c r="M8" i="6"/>
  <c r="N8" i="6"/>
  <c r="O8" i="6"/>
  <c r="P8" i="6"/>
  <c r="Q8" i="6"/>
  <c r="R8" i="6"/>
  <c r="U8" i="6"/>
  <c r="V8" i="6"/>
  <c r="A7" i="7"/>
  <c r="B7" i="7"/>
  <c r="A8" i="7"/>
  <c r="B8" i="7"/>
  <c r="C9" i="7"/>
  <c r="D9" i="7"/>
  <c r="E9" i="7"/>
  <c r="F9" i="7"/>
  <c r="G9" i="7"/>
  <c r="H9" i="7"/>
  <c r="I9" i="7"/>
  <c r="J9" i="7"/>
  <c r="K9" i="7"/>
  <c r="L9" i="7"/>
  <c r="M9" i="7"/>
  <c r="N9" i="7"/>
  <c r="O9" i="7"/>
  <c r="P9" i="7"/>
  <c r="A7" i="8"/>
  <c r="B7" i="8"/>
  <c r="A8" i="8"/>
  <c r="B8" i="8"/>
  <c r="C9" i="8"/>
  <c r="D9" i="8"/>
  <c r="E9" i="8"/>
  <c r="F9" i="8"/>
  <c r="G9" i="8"/>
  <c r="H9" i="8"/>
  <c r="I9" i="8"/>
  <c r="J9" i="8"/>
  <c r="K9" i="8"/>
  <c r="L9" i="8"/>
  <c r="S9" i="8"/>
  <c r="T9" i="8"/>
  <c r="A15" i="9"/>
  <c r="B15" i="9"/>
  <c r="C14" i="9" s="1"/>
  <c r="E15" i="9"/>
  <c r="A16" i="9"/>
  <c r="B16" i="9"/>
  <c r="D14" i="9" s="1"/>
  <c r="E16" i="9"/>
  <c r="E7" i="44" s="1"/>
  <c r="C17" i="9"/>
  <c r="F6" i="33" s="1"/>
  <c r="D17" i="9"/>
  <c r="G7" i="31"/>
  <c r="A6" i="20"/>
  <c r="B6" i="20"/>
  <c r="A7" i="20"/>
  <c r="B7" i="20"/>
  <c r="C8" i="20"/>
  <c r="D8" i="20"/>
  <c r="E8" i="20"/>
  <c r="F8" i="20"/>
  <c r="G8" i="20"/>
  <c r="H8" i="20"/>
  <c r="I8" i="20"/>
  <c r="J8" i="20"/>
  <c r="K8" i="20"/>
  <c r="L8" i="20"/>
  <c r="M8" i="20"/>
  <c r="N8" i="20"/>
  <c r="O8" i="20"/>
  <c r="P8" i="20"/>
  <c r="C4" i="2"/>
  <c r="K4" i="2"/>
  <c r="K59" i="47"/>
  <c r="K62" i="47"/>
  <c r="A1" i="31"/>
  <c r="E6" i="31"/>
  <c r="A1" i="65"/>
  <c r="A1" i="32"/>
  <c r="A1" i="33"/>
  <c r="O8" i="4"/>
  <c r="F7" i="30"/>
  <c r="F9" i="30" s="1"/>
  <c r="E7" i="30"/>
  <c r="E9" i="30" s="1"/>
  <c r="D7" i="45"/>
  <c r="E7" i="67"/>
  <c r="G8" i="15"/>
  <c r="F8" i="15"/>
  <c r="C7" i="33"/>
  <c r="A1" i="15"/>
  <c r="A1" i="48"/>
  <c r="A1" i="64"/>
  <c r="A1" i="44"/>
  <c r="A1" i="5"/>
  <c r="A1" i="46"/>
  <c r="A1" i="67"/>
  <c r="C1" i="18"/>
  <c r="AA1" i="18"/>
  <c r="A1" i="4"/>
  <c r="A1" i="29"/>
  <c r="A1" i="35"/>
  <c r="A1" i="23"/>
  <c r="F8" i="14"/>
  <c r="E6" i="44"/>
  <c r="E6" i="33"/>
  <c r="Q7" i="58"/>
  <c r="T7" i="58"/>
  <c r="J7" i="58"/>
  <c r="K7" i="58"/>
  <c r="N7" i="58"/>
  <c r="I7" i="58"/>
  <c r="M7" i="58" s="1"/>
  <c r="L6" i="2"/>
  <c r="H7" i="30" s="1"/>
  <c r="H6" i="48"/>
  <c r="D6" i="29"/>
  <c r="D6" i="33"/>
  <c r="B1" i="68"/>
  <c r="A1" i="58"/>
  <c r="A1" i="6"/>
  <c r="A1" i="43"/>
  <c r="A1" i="30"/>
  <c r="A1" i="7"/>
  <c r="A1" i="66"/>
  <c r="A1" i="9"/>
  <c r="A1" i="45"/>
  <c r="A1" i="8"/>
  <c r="A1" i="14"/>
  <c r="B3" i="47"/>
  <c r="P7" i="58"/>
  <c r="G7" i="48"/>
  <c r="I8" i="30"/>
  <c r="D6" i="31"/>
  <c r="D8" i="31" s="1"/>
  <c r="R7" i="58"/>
  <c r="L7" i="58"/>
  <c r="U9" i="8"/>
  <c r="C227" i="47" s="1"/>
  <c r="F7" i="33"/>
  <c r="D7" i="35"/>
  <c r="C31" i="66"/>
  <c r="J7" i="30"/>
  <c r="E8" i="2"/>
  <c r="D7" i="29"/>
  <c r="D8" i="15"/>
  <c r="F8" i="2"/>
  <c r="O8" i="32"/>
  <c r="W8" i="32" s="1"/>
  <c r="AY6" i="18"/>
  <c r="D19" i="35"/>
  <c r="D21" i="35"/>
  <c r="D20" i="35"/>
  <c r="E19" i="35"/>
  <c r="H8" i="15"/>
  <c r="AB8" i="5"/>
  <c r="J8" i="30"/>
  <c r="J9" i="30"/>
  <c r="D8" i="2"/>
  <c r="C6" i="31"/>
  <c r="C225" i="47"/>
  <c r="D6" i="45"/>
  <c r="E7" i="33"/>
  <c r="E8" i="33" s="1"/>
  <c r="D6" i="35"/>
  <c r="F226" i="47" s="1"/>
  <c r="C8" i="31"/>
  <c r="D5" i="35"/>
  <c r="I6" i="70"/>
  <c r="I18" i="69"/>
  <c r="G18" i="69"/>
  <c r="J18" i="69"/>
  <c r="E18" i="69"/>
  <c r="D18" i="69"/>
  <c r="L18" i="69"/>
  <c r="K18" i="69"/>
  <c r="L10" i="43"/>
  <c r="M10" i="43"/>
  <c r="C10" i="43"/>
  <c r="W8" i="43" l="1"/>
  <c r="V10" i="43"/>
  <c r="N10" i="43"/>
  <c r="P10" i="43"/>
  <c r="H10" i="43"/>
  <c r="I10" i="43"/>
  <c r="C13" i="65" s="1"/>
  <c r="D13" i="65" s="1"/>
  <c r="Q10" i="43"/>
  <c r="G10" i="43"/>
  <c r="C14" i="65"/>
  <c r="D14" i="65" s="1"/>
  <c r="F234" i="47" s="1"/>
  <c r="W10" i="43"/>
  <c r="F10" i="43"/>
  <c r="E10" i="43"/>
  <c r="C20" i="65" s="1"/>
  <c r="D20" i="65" s="1"/>
  <c r="C7" i="48"/>
  <c r="R10" i="43"/>
  <c r="T10" i="43"/>
  <c r="AI8" i="2"/>
  <c r="H8" i="14"/>
  <c r="AG8" i="14"/>
  <c r="G8" i="14"/>
  <c r="I6" i="14"/>
  <c r="C6" i="45" s="1"/>
  <c r="E6" i="45" s="1"/>
  <c r="S7" i="58"/>
  <c r="C8" i="14"/>
  <c r="I7" i="14"/>
  <c r="C7" i="64" s="1"/>
  <c r="F7" i="64" s="1"/>
  <c r="F7" i="48"/>
  <c r="E17" i="9"/>
  <c r="C226" i="47" s="1"/>
  <c r="F8" i="33"/>
  <c r="I7" i="29"/>
  <c r="H7" i="29"/>
  <c r="G7" i="29"/>
  <c r="C229" i="47"/>
  <c r="G6" i="33"/>
  <c r="C8" i="33"/>
  <c r="C223" i="47"/>
  <c r="O9" i="32"/>
  <c r="AY7" i="18"/>
  <c r="H8" i="30"/>
  <c r="C7" i="67"/>
  <c r="D7" i="67" s="1"/>
  <c r="H7" i="67" s="1"/>
  <c r="E14" i="35"/>
  <c r="D14" i="35"/>
  <c r="C8" i="30"/>
  <c r="G8" i="30" s="1"/>
  <c r="C7" i="58"/>
  <c r="D7" i="48"/>
  <c r="AX7" i="18"/>
  <c r="AW7" i="18" s="1"/>
  <c r="C7" i="44"/>
  <c r="C9" i="32"/>
  <c r="D7" i="58"/>
  <c r="I7" i="31"/>
  <c r="AY8" i="18"/>
  <c r="O6" i="58"/>
  <c r="K6" i="58"/>
  <c r="Q6" i="58"/>
  <c r="R6" i="58"/>
  <c r="J6" i="58"/>
  <c r="P6" i="58"/>
  <c r="I6" i="58"/>
  <c r="L6" i="58"/>
  <c r="N6" i="58"/>
  <c r="T6" i="58"/>
  <c r="D15" i="35"/>
  <c r="E15" i="35"/>
  <c r="Z8" i="32"/>
  <c r="E16" i="35"/>
  <c r="D16" i="35"/>
  <c r="C7" i="70"/>
  <c r="E7" i="70" s="1"/>
  <c r="E6" i="70"/>
  <c r="K6" i="70"/>
  <c r="K7" i="70" s="1"/>
  <c r="C236" i="47"/>
  <c r="L6" i="70"/>
  <c r="L7" i="70" s="1"/>
  <c r="D7" i="70"/>
  <c r="E6" i="67"/>
  <c r="F7" i="31"/>
  <c r="H7" i="31" s="1"/>
  <c r="J7" i="31" s="1"/>
  <c r="K7" i="30"/>
  <c r="K9" i="30" s="1"/>
  <c r="L9" i="32"/>
  <c r="L10" i="32" s="1"/>
  <c r="D7" i="30"/>
  <c r="D9" i="30" s="1"/>
  <c r="I7" i="30"/>
  <c r="I9" i="30" s="1"/>
  <c r="AV8" i="18"/>
  <c r="D7" i="33"/>
  <c r="D7" i="44"/>
  <c r="F6" i="31"/>
  <c r="F8" i="31" s="1"/>
  <c r="Y8" i="32"/>
  <c r="C6" i="29"/>
  <c r="E6" i="29" s="1"/>
  <c r="H7" i="48"/>
  <c r="O10" i="32"/>
  <c r="E12" i="46"/>
  <c r="H7" i="33"/>
  <c r="AU8" i="18"/>
  <c r="C232" i="47" s="1"/>
  <c r="B13" i="35"/>
  <c r="C8" i="2"/>
  <c r="H6" i="33"/>
  <c r="D7" i="69"/>
  <c r="C8" i="15"/>
  <c r="X10" i="43"/>
  <c r="L8" i="2"/>
  <c r="K6" i="15"/>
  <c r="K8" i="15" s="1"/>
  <c r="G6" i="31"/>
  <c r="G8" i="31" s="1"/>
  <c r="F6" i="44"/>
  <c r="K6" i="2"/>
  <c r="G6" i="48"/>
  <c r="F6" i="48"/>
  <c r="A1" i="20"/>
  <c r="A1" i="70"/>
  <c r="C233" i="47" l="1"/>
  <c r="C7" i="45"/>
  <c r="E7" i="45" s="1"/>
  <c r="F230" i="47" s="1"/>
  <c r="E7" i="64"/>
  <c r="C6" i="64"/>
  <c r="E6" i="64" s="1"/>
  <c r="I7" i="64"/>
  <c r="J7" i="64" s="1"/>
  <c r="I8" i="14"/>
  <c r="B4" i="46" s="1"/>
  <c r="H7" i="64"/>
  <c r="H6" i="31"/>
  <c r="Y10" i="32"/>
  <c r="W10" i="32"/>
  <c r="Z10" i="32" s="1"/>
  <c r="H7" i="58"/>
  <c r="F7" i="58"/>
  <c r="G7" i="58"/>
  <c r="K9" i="32"/>
  <c r="N9" i="32" s="1"/>
  <c r="M9" i="32"/>
  <c r="G6" i="29"/>
  <c r="H6" i="29"/>
  <c r="I6" i="29"/>
  <c r="F227" i="47" s="1"/>
  <c r="L7" i="30"/>
  <c r="I6" i="64"/>
  <c r="H6" i="64"/>
  <c r="F6" i="64"/>
  <c r="G7" i="44"/>
  <c r="G7" i="67"/>
  <c r="I7" i="67"/>
  <c r="AX6" i="18"/>
  <c r="C6" i="44"/>
  <c r="G6" i="44" s="1"/>
  <c r="C8" i="32"/>
  <c r="D6" i="48"/>
  <c r="D6" i="58"/>
  <c r="I6" i="31"/>
  <c r="I8" i="31" s="1"/>
  <c r="C7" i="30"/>
  <c r="K8" i="2"/>
  <c r="C6" i="58"/>
  <c r="H8" i="33"/>
  <c r="I6" i="33"/>
  <c r="J7" i="48"/>
  <c r="K7" i="48"/>
  <c r="L7" i="48" s="1"/>
  <c r="B4" i="66"/>
  <c r="C234" i="47"/>
  <c r="E13" i="35"/>
  <c r="D13" i="35"/>
  <c r="H233" i="47" s="1"/>
  <c r="C235" i="47"/>
  <c r="B5" i="66"/>
  <c r="M6" i="58"/>
  <c r="S6" i="58"/>
  <c r="L8" i="30"/>
  <c r="H9" i="30"/>
  <c r="L9" i="30" s="1"/>
  <c r="C6" i="67"/>
  <c r="D6" i="67" s="1"/>
  <c r="H6" i="67" s="1"/>
  <c r="C6" i="48"/>
  <c r="D8" i="33"/>
  <c r="G7" i="33"/>
  <c r="G8" i="33" s="1"/>
  <c r="Y9" i="32"/>
  <c r="W9" i="32"/>
  <c r="Z9" i="32" s="1"/>
  <c r="J6" i="31" l="1"/>
  <c r="F222" i="47" s="1"/>
  <c r="J6" i="64"/>
  <c r="F232" i="47" s="1"/>
  <c r="I7" i="33"/>
  <c r="F225" i="47" s="1"/>
  <c r="H8" i="31"/>
  <c r="J8" i="31" s="1"/>
  <c r="C10" i="32"/>
  <c r="K8" i="32"/>
  <c r="N8" i="32" s="1"/>
  <c r="M8" i="32"/>
  <c r="G6" i="58"/>
  <c r="H6" i="58"/>
  <c r="F6" i="58"/>
  <c r="I8" i="33"/>
  <c r="F229" i="47"/>
  <c r="D30" i="46"/>
  <c r="D11" i="46"/>
  <c r="F23" i="46"/>
  <c r="D28" i="46"/>
  <c r="D13" i="46"/>
  <c r="D6" i="46"/>
  <c r="D18" i="46"/>
  <c r="D9" i="46"/>
  <c r="D7" i="46"/>
  <c r="E22" i="46"/>
  <c r="E6" i="46"/>
  <c r="D8" i="46"/>
  <c r="D15" i="46"/>
  <c r="D16" i="46"/>
  <c r="D23" i="46"/>
  <c r="D29" i="46"/>
  <c r="D25" i="46"/>
  <c r="D21" i="46"/>
  <c r="E25" i="46"/>
  <c r="D19" i="46"/>
  <c r="D27" i="46"/>
  <c r="D10" i="46"/>
  <c r="D17" i="46"/>
  <c r="D20" i="46"/>
  <c r="D24" i="46"/>
  <c r="E17" i="46"/>
  <c r="D14" i="46"/>
  <c r="D26" i="46"/>
  <c r="D22" i="46"/>
  <c r="F21" i="46"/>
  <c r="F228" i="47" s="1"/>
  <c r="E23" i="46"/>
  <c r="E13" i="46"/>
  <c r="D12" i="46"/>
  <c r="E21" i="46"/>
  <c r="AX8" i="18"/>
  <c r="AW8" i="18" s="1"/>
  <c r="AW6" i="18"/>
  <c r="B28" i="66"/>
  <c r="B31" i="66" s="1"/>
  <c r="A2" i="66" s="1"/>
  <c r="C7" i="65"/>
  <c r="D7" i="65" s="1"/>
  <c r="C222" i="47"/>
  <c r="C6" i="65"/>
  <c r="D6" i="65" s="1"/>
  <c r="C5" i="65"/>
  <c r="D5" i="65" s="1"/>
  <c r="G7" i="30"/>
  <c r="C9" i="30"/>
  <c r="G9" i="30" s="1"/>
  <c r="F223" i="47" s="1"/>
  <c r="I6" i="67"/>
  <c r="G6" i="67"/>
  <c r="F235" i="47" s="1"/>
  <c r="J6" i="48"/>
  <c r="K6" i="48"/>
  <c r="I7" i="48"/>
  <c r="I6" i="48" l="1"/>
  <c r="F231" i="47" s="1"/>
  <c r="L6" i="48"/>
  <c r="K10" i="32"/>
  <c r="N10" i="32" s="1"/>
  <c r="M10" i="32"/>
  <c r="F224" i="47" l="1"/>
</calcChain>
</file>

<file path=xl/sharedStrings.xml><?xml version="1.0" encoding="utf-8"?>
<sst xmlns="http://schemas.openxmlformats.org/spreadsheetml/2006/main" count="1203" uniqueCount="556">
  <si>
    <t>Personale soggetto a turnazione (**) Personale indicato in T1</t>
  </si>
  <si>
    <t>Personale soggetto a reperibilità (**) Personale indicato in T1</t>
  </si>
  <si>
    <t>CONTRATTI PER RESA SERVIZI/ADEMPIMENTI OBBLIGATORI PER LEGGE</t>
  </si>
  <si>
    <t>L115</t>
  </si>
  <si>
    <t>j=(a+b+c+d-e-f-g-h-i)</t>
  </si>
  <si>
    <t>k</t>
  </si>
  <si>
    <t>j=k</t>
  </si>
  <si>
    <t>u=(l+m+n+o-p-q-r-s-t)</t>
  </si>
  <si>
    <t>v</t>
  </si>
  <si>
    <t>u=v</t>
  </si>
  <si>
    <t>unità per il calcolo delle assenze (*)</t>
  </si>
  <si>
    <t>Presenti per titolo di studio 
(Tab 9)</t>
  </si>
  <si>
    <t>T1</t>
  </si>
  <si>
    <t>SQ 1</t>
  </si>
  <si>
    <t>T2</t>
  </si>
  <si>
    <t>SQ 2</t>
  </si>
  <si>
    <t>T3</t>
  </si>
  <si>
    <t>SQ 3</t>
  </si>
  <si>
    <t>T4</t>
  </si>
  <si>
    <t>SQ 4</t>
  </si>
  <si>
    <t>T5</t>
  </si>
  <si>
    <t>T6</t>
  </si>
  <si>
    <t>T7</t>
  </si>
  <si>
    <t>IN 1</t>
  </si>
  <si>
    <t>T8</t>
  </si>
  <si>
    <t>IN 2</t>
  </si>
  <si>
    <t>T9</t>
  </si>
  <si>
    <t>IN 4</t>
  </si>
  <si>
    <t>T10</t>
  </si>
  <si>
    <t>IN 5</t>
  </si>
  <si>
    <t>T11</t>
  </si>
  <si>
    <t>IN 6</t>
  </si>
  <si>
    <t>T12</t>
  </si>
  <si>
    <t>IN 7</t>
  </si>
  <si>
    <t>T13</t>
  </si>
  <si>
    <t>T14</t>
  </si>
  <si>
    <t>Totale della Tabella T11</t>
  </si>
  <si>
    <t>Totale della Tabella T1</t>
  </si>
  <si>
    <t>Totale della Tabella T3 (personale esterno)</t>
  </si>
  <si>
    <t>Totale Usciti della Tabella T4</t>
  </si>
  <si>
    <t>Totale Entrati della Tabella T4</t>
  </si>
  <si>
    <t>Totale della Tabella T5</t>
  </si>
  <si>
    <t>Incongruenza 7</t>
  </si>
  <si>
    <t>Incongruenza           [se a&gt;0 e (b=0 e c=0 e d=0 e e=0 e f=0)]</t>
  </si>
  <si>
    <t>Incongruenza         [se a=0 e (b&gt;0 o c&gt;0 o d&gt;0 o e&gt;0 o f&gt;0)]</t>
  </si>
  <si>
    <t>Contratti di somministrazione (ex interinale)</t>
  </si>
  <si>
    <t>Contratti di somministrazione
(ex Interinale) (*)</t>
  </si>
  <si>
    <t>INDIRIZZO PAGINA WEB DELL'ENTE</t>
  </si>
  <si>
    <t>CONVENZIONI</t>
  </si>
  <si>
    <t>Passaggi ad altra Amministrazione dello stesso comparto (*)</t>
  </si>
  <si>
    <t>Passaggi ad altra Amministrazione di altro comparto (*)</t>
  </si>
  <si>
    <t>LAUREA BREVE</t>
  </si>
  <si>
    <t>SPECIALIZZAZIONE
POST LAUREA/ DOTTORATO DI RICERCA</t>
  </si>
  <si>
    <t>ALTRI TITOLI
POST LAUREA</t>
  </si>
  <si>
    <t>FORMAZIONE</t>
  </si>
  <si>
    <t>N U M E R O      D I     D I P E N D E N T I</t>
  </si>
  <si>
    <t>Cod.</t>
  </si>
  <si>
    <t>Uomini</t>
  </si>
  <si>
    <t>Donne</t>
  </si>
  <si>
    <t>TOTALE</t>
  </si>
  <si>
    <t>A tempo pieno</t>
  </si>
  <si>
    <t>FERIE</t>
  </si>
  <si>
    <t>N. gg</t>
  </si>
  <si>
    <t>FINO ALLA SCUOLA DELL'OBBLIGO</t>
  </si>
  <si>
    <t>LIC. MEDIA SUPERIORE</t>
  </si>
  <si>
    <t>LAUREA</t>
  </si>
  <si>
    <t>tra 25 e 29 anni</t>
  </si>
  <si>
    <t xml:space="preserve"> tra 30 e 34 anni</t>
  </si>
  <si>
    <t>tra 35 e 39 anni</t>
  </si>
  <si>
    <t>tra 40 e 44 anni</t>
  </si>
  <si>
    <t>tra 45 e 49 anni</t>
  </si>
  <si>
    <t>tra 50 e 54 anni</t>
  </si>
  <si>
    <t>tra 55 e 59 anni</t>
  </si>
  <si>
    <t>tra 60 e 64 anni</t>
  </si>
  <si>
    <t>U</t>
  </si>
  <si>
    <t>D</t>
  </si>
  <si>
    <t>tra 0 e 5 anni</t>
  </si>
  <si>
    <t>tra 6 e 10 anni</t>
  </si>
  <si>
    <t xml:space="preserve"> tra 11 e 15 anni</t>
  </si>
  <si>
    <t>tra 16 e 20 anni</t>
  </si>
  <si>
    <t>tra 21 e 25 anni</t>
  </si>
  <si>
    <t>tra 26 e 30 anni</t>
  </si>
  <si>
    <t>tra 31 e 35 anni</t>
  </si>
  <si>
    <t>tra 36 e 40 anni</t>
  </si>
  <si>
    <t>Altre cause</t>
  </si>
  <si>
    <t>FUORI RUOLO</t>
  </si>
  <si>
    <t>(*) Escluso il personale comandato e quello fuori ruolo</t>
  </si>
  <si>
    <t>Codice</t>
  </si>
  <si>
    <t>CATEGORIA</t>
  </si>
  <si>
    <t>Importo</t>
  </si>
  <si>
    <t>IRAP</t>
  </si>
  <si>
    <t>ALTRE SPESE</t>
  </si>
  <si>
    <t xml:space="preserve">Voci di spesa </t>
  </si>
  <si>
    <t xml:space="preserve"> </t>
  </si>
  <si>
    <t>TREDICESIMA MENSILTA'</t>
  </si>
  <si>
    <t>RECUPERI DERIVANTI DA ASSENZE, RITARDI, ECC.</t>
  </si>
  <si>
    <t>cod.</t>
  </si>
  <si>
    <t>VALLE D'AOSTA</t>
  </si>
  <si>
    <t>PIEMONTE</t>
  </si>
  <si>
    <t>LOMBARDIA</t>
  </si>
  <si>
    <t>VENETO</t>
  </si>
  <si>
    <t>LIGURIA</t>
  </si>
  <si>
    <t>EMILIA ROMAGNA</t>
  </si>
  <si>
    <t>TOSCANA</t>
  </si>
  <si>
    <t>UMBRIA</t>
  </si>
  <si>
    <t>MARCHE</t>
  </si>
  <si>
    <t>LAZIO</t>
  </si>
  <si>
    <t>MOLISE</t>
  </si>
  <si>
    <t>CAMPANIA</t>
  </si>
  <si>
    <t>PUGLIA</t>
  </si>
  <si>
    <t>BASILICATA</t>
  </si>
  <si>
    <t>CALABRIA</t>
  </si>
  <si>
    <t>SICILIA</t>
  </si>
  <si>
    <t>SARDEGNA</t>
  </si>
  <si>
    <t>DESCRIZIONE</t>
  </si>
  <si>
    <t>In part-time
fino al 50%</t>
  </si>
  <si>
    <t>In part-time
oltre il 50%</t>
  </si>
  <si>
    <t>A tempo determinato (*)</t>
  </si>
  <si>
    <t>Formazione lavoro (*)</t>
  </si>
  <si>
    <t>(*) dati su base annua</t>
  </si>
  <si>
    <t>(**) presenti al 31 dicembre anno corrente</t>
  </si>
  <si>
    <t xml:space="preserve">TOTALE
USCITI
</t>
  </si>
  <si>
    <t>qualifica/posizione economica/profilo</t>
  </si>
  <si>
    <t>qualifica / posiz.economica/profilo</t>
  </si>
  <si>
    <t>PERSONALE DELL'AMMINISTRAZIONE (* )</t>
  </si>
  <si>
    <t>PERSONALE ESTERNO ( ** )</t>
  </si>
  <si>
    <t>(**) Personale comandato e fuori ruolo da altre Amministrazioni</t>
  </si>
  <si>
    <t>qualifica/posiz. economica/profilo</t>
  </si>
  <si>
    <t>qualifica/posiz.economica/profilo</t>
  </si>
  <si>
    <t>STIPENDIO</t>
  </si>
  <si>
    <t>EROGAZIONE BUONI PASTO</t>
  </si>
  <si>
    <t>INDENNITA' DI MISSIONE E TRASFERIMENTO</t>
  </si>
  <si>
    <t>EQUO INDENNIZZO AL PERSONALE</t>
  </si>
  <si>
    <t>BENESSERE DEL PERSONALE</t>
  </si>
  <si>
    <t>FORMAZIONE DEL PERSONALE</t>
  </si>
  <si>
    <t>Qualifica/Posiz.economica/Profilo</t>
  </si>
  <si>
    <t>ASSEGNI PER IL NUCLEO FAMILIARE</t>
  </si>
  <si>
    <t xml:space="preserve">(**) dato pari alla somma del personale a tempo pieno + in part-time fino al 50% + in part-time oltre il 50% </t>
  </si>
  <si>
    <t xml:space="preserve">(*) Escluso il personale comandato e quello fuori ruolo </t>
  </si>
  <si>
    <t xml:space="preserve">TOTALE </t>
  </si>
  <si>
    <t>L005</t>
  </si>
  <si>
    <t>P015</t>
  </si>
  <si>
    <t>P016</t>
  </si>
  <si>
    <t>P062</t>
  </si>
  <si>
    <t>L105</t>
  </si>
  <si>
    <t>P065</t>
  </si>
  <si>
    <t>P071</t>
  </si>
  <si>
    <t>P055</t>
  </si>
  <si>
    <t>P058</t>
  </si>
  <si>
    <t>P061</t>
  </si>
  <si>
    <t>P090</t>
  </si>
  <si>
    <t>P030</t>
  </si>
  <si>
    <t>L010</t>
  </si>
  <si>
    <t>L011</t>
  </si>
  <si>
    <t>L020</t>
  </si>
  <si>
    <t>L090</t>
  </si>
  <si>
    <t>L100</t>
  </si>
  <si>
    <t>COPERTURE ASSICURATIVE</t>
  </si>
  <si>
    <t>L107</t>
  </si>
  <si>
    <t>L110</t>
  </si>
  <si>
    <t>TOTALE ENTRATI</t>
  </si>
  <si>
    <t>fino a 19 anni</t>
  </si>
  <si>
    <t>tra 20 e 24 anni</t>
  </si>
  <si>
    <t>ENTRATI in: qualifica/posizione economica/profilo</t>
  </si>
  <si>
    <t>ARRETRATI  ANNI PRECEDENTI</t>
  </si>
  <si>
    <t>NUMERO DI MENSILITA' (**)</t>
  </si>
  <si>
    <t>(*) gli importi vanno indicati in EURO, senza cifre decimali (cfr. circolare: "istruzioni generali e specifiche di comparto")</t>
  </si>
  <si>
    <t>(**) il numero delle mensilità va espresso con 2 cifre decimali (cfr. circolare: "istruzioni generali e specifiche di comparto ")</t>
  </si>
  <si>
    <t xml:space="preserve">COMANDATI / DISTACCATI </t>
  </si>
  <si>
    <t>ALTRE ASSENZE NON RETRIBUITE</t>
  </si>
  <si>
    <t>Coerenza</t>
  </si>
  <si>
    <t>Tot Cessati (Tab 5)</t>
  </si>
  <si>
    <t>Tot Entrati (Tab 4)</t>
  </si>
  <si>
    <t>Tot Usciti (Tab 4)</t>
  </si>
  <si>
    <t>A tempo determinato</t>
  </si>
  <si>
    <t>Formazione lavoro</t>
  </si>
  <si>
    <t>L.S.U</t>
  </si>
  <si>
    <t>Scostamento in valore assoluto</t>
  </si>
  <si>
    <t>Codici qualifiche</t>
  </si>
  <si>
    <t>Qualifiche</t>
  </si>
  <si>
    <t>a</t>
  </si>
  <si>
    <t>b</t>
  </si>
  <si>
    <t>c</t>
  </si>
  <si>
    <t>d</t>
  </si>
  <si>
    <t>e</t>
  </si>
  <si>
    <t>f=(a-b+c-d+e)</t>
  </si>
  <si>
    <t>g</t>
  </si>
  <si>
    <t>f=g</t>
  </si>
  <si>
    <t xml:space="preserve">Coerenza </t>
  </si>
  <si>
    <t>Presenti per classi di anzianità di servizio (Tab 7)</t>
  </si>
  <si>
    <t>Presenti per classi di età (Tab 8)</t>
  </si>
  <si>
    <t>Fuori ruolo esterni (IN) (Tab 3)</t>
  </si>
  <si>
    <t>Comandati esterni (IN)  (Tab 3)</t>
  </si>
  <si>
    <t>Fuori ruolo interni (OUT) (Tab 3)</t>
  </si>
  <si>
    <t>h</t>
  </si>
  <si>
    <t>i</t>
  </si>
  <si>
    <t>l</t>
  </si>
  <si>
    <t>m</t>
  </si>
  <si>
    <t>n</t>
  </si>
  <si>
    <t>p</t>
  </si>
  <si>
    <t>Cessati (Tab 5)</t>
  </si>
  <si>
    <t xml:space="preserve"> Assunti (Tab 6)</t>
  </si>
  <si>
    <t>Entrati (Tab 4)</t>
  </si>
  <si>
    <t>Usciti (Tab 4)</t>
  </si>
  <si>
    <t>f</t>
  </si>
  <si>
    <t>f&lt;=e</t>
  </si>
  <si>
    <t>a=b=c=d</t>
  </si>
  <si>
    <t>(e=f=g=h)</t>
  </si>
  <si>
    <t>Comandati interni (OUT) (Tab 3)</t>
  </si>
  <si>
    <t>(*) Solo per le tipologie tenute all'invio della TABELLA 10</t>
  </si>
  <si>
    <t>Totale personale distribuito per Regioni  (calcolato)</t>
  </si>
  <si>
    <t>Totale personale distribuito per Regioni (Tab 10)</t>
  </si>
  <si>
    <t>e=(a-b+c+d)</t>
  </si>
  <si>
    <t xml:space="preserve">Consistenza nella qualifica </t>
  </si>
  <si>
    <t>Spesa (Tab 14)</t>
  </si>
  <si>
    <t>Compresenza</t>
  </si>
  <si>
    <t>Qualifica</t>
  </si>
  <si>
    <t>Mensilità (Tab 12)</t>
  </si>
  <si>
    <t>c=(b/a*12)</t>
  </si>
  <si>
    <t>e=(c-d)</t>
  </si>
  <si>
    <t>f=(e/d*100)</t>
  </si>
  <si>
    <t>Spesa per stipendio (Tab 12)</t>
  </si>
  <si>
    <t>Spesa media annua per stipendio (per 12 mensilità)</t>
  </si>
  <si>
    <t>Importi stipendiali contrattuali annui (per 12 mensilità)</t>
  </si>
  <si>
    <t>Scostamento percentuale</t>
  </si>
  <si>
    <t>(*) Personale comandato e fuori ruolo verso altre Amministrazioni</t>
  </si>
  <si>
    <t>Tot Assunti (Tab 6)</t>
  </si>
  <si>
    <t>Controlli di coerenza</t>
  </si>
  <si>
    <t>Codici spesa</t>
  </si>
  <si>
    <t>Importi comunicati (Tab 14)</t>
  </si>
  <si>
    <t>Incidenza percentuale: Importi comunicati Tab 14 / (Tabella 12 + Tabella 13)</t>
  </si>
  <si>
    <t>N U M E R O   D I   D I P E N D E N T I</t>
  </si>
  <si>
    <t xml:space="preserve">N U M E R O   D I   D I P E N D E N T I </t>
  </si>
  <si>
    <t xml:space="preserve">N U M E R O   D I   D I P E N D E N T I  </t>
  </si>
  <si>
    <t>N U M E R O   G I O R N I   D I   A S S E N Z A</t>
  </si>
  <si>
    <t xml:space="preserve">USCITI da: 
qualifica/posizione economica/profilo
</t>
  </si>
  <si>
    <t xml:space="preserve">Codice
</t>
  </si>
  <si>
    <t>V O C I   D I   S P E S A</t>
  </si>
  <si>
    <t>U O M I N I</t>
  </si>
  <si>
    <t>D O N N E</t>
  </si>
  <si>
    <t>Tavola di controllo degli usciti dalla qualifica di Tabella 4 (Squadratura 4)</t>
  </si>
  <si>
    <t>Tavola di congruenza tra spesa media annua per stipendio (Tabella 12) e importi stipendiali contrattuali</t>
  </si>
  <si>
    <t>Tavola di controllo dei valori di spesa di Tabella 14: incidenza % di ciascun valore sul totale delle spese di Tabella 12+Tabella 13</t>
  </si>
  <si>
    <t>TOTALE TABELLA 12 + TABELLA 13:</t>
  </si>
  <si>
    <t>PARTITA IVA DELL'ENTE</t>
  </si>
  <si>
    <t xml:space="preserve">CODICE FISCALE DELL'ENTE </t>
  </si>
  <si>
    <t>TELEFONO</t>
  </si>
  <si>
    <t xml:space="preserve">FAX </t>
  </si>
  <si>
    <t>E-MAIL</t>
  </si>
  <si>
    <t>INDIRIZZO</t>
  </si>
  <si>
    <t xml:space="preserve">VIA </t>
  </si>
  <si>
    <t>C.A.P.</t>
  </si>
  <si>
    <t>PRESIDENTE:</t>
  </si>
  <si>
    <t>COGNOME</t>
  </si>
  <si>
    <t>NOME</t>
  </si>
  <si>
    <t>COMPONENTI:</t>
  </si>
  <si>
    <t>I modelli debbono essere sottoscritti dai revisori dei conti</t>
  </si>
  <si>
    <t>Non compilare</t>
  </si>
  <si>
    <t>numero unità</t>
  </si>
  <si>
    <t>S998</t>
  </si>
  <si>
    <t>T101</t>
  </si>
  <si>
    <t>E-Mail</t>
  </si>
  <si>
    <t>ESTERO</t>
  </si>
  <si>
    <t>FRIULI VENEZIA GIULIA</t>
  </si>
  <si>
    <t>PROVINCIA AUTONOMA TRENTO</t>
  </si>
  <si>
    <t>PROVINCIA AUTONOMA BOLZANO</t>
  </si>
  <si>
    <t>N° Civico</t>
  </si>
  <si>
    <t>F00</t>
  </si>
  <si>
    <t>SC1</t>
  </si>
  <si>
    <t>SS2</t>
  </si>
  <si>
    <t>Totale uomini e donne (Tab T5)</t>
  </si>
  <si>
    <t>Totale della Tabella T13</t>
  </si>
  <si>
    <t>TABELLE 12 -13 ASSENTI</t>
  </si>
  <si>
    <t>Totale usciti (Tab T4)</t>
  </si>
  <si>
    <t>Mensilità (Tab T12)</t>
  </si>
  <si>
    <t>Tavola di congruenza tra Presenti al 31-12 del totale  uomini e donne o Totale uomini e donne Tabella 5 e mensilità della Tabella T12</t>
  </si>
  <si>
    <t>Congruenza (se a&gt;0 o b&gt;0 o c&gt;0 e d&gt;0 )</t>
  </si>
  <si>
    <t>1.0</t>
  </si>
  <si>
    <t>ARRETRATI ANNI PRECEDENTI</t>
  </si>
  <si>
    <t>STRAORDINARIO</t>
  </si>
  <si>
    <t>ATTENZIONE: non compilare in caso in cui l'ente non è tenuto all'invio</t>
  </si>
  <si>
    <t>Congruenza          ( a&gt;0 e b&gt;0)</t>
  </si>
  <si>
    <t>CITTA'                                                     PROV.</t>
  </si>
  <si>
    <t>TABELLE COMPILATE
(attenzione: la seguente sezione verrà compilata in automatico; all'atto dell'inserimento dei dati nel kit verrà annerita la relativa casella)</t>
  </si>
  <si>
    <t>Z01</t>
  </si>
  <si>
    <t>Convenzioni esterni (IN) (Tab 3)</t>
  </si>
  <si>
    <t>Convenzioni interni (OUT) (Tab 3)</t>
  </si>
  <si>
    <t>o</t>
  </si>
  <si>
    <t>q</t>
  </si>
  <si>
    <t>r</t>
  </si>
  <si>
    <t>t</t>
  </si>
  <si>
    <t>Totale (Uomini + donne della sezione "Personale Esterno" COMANDATI / DISTACCATI + FUORI RUOLO+CONVENZIONI)+Mensilità medie da T12(mensilità /12)</t>
  </si>
  <si>
    <t xml:space="preserve">Assunzione per chiamata diretta (L. 68/99 - categorie protette) </t>
  </si>
  <si>
    <t xml:space="preserve">Assunzione per chiamata numerica (L. 68/99 - categorie protette) </t>
  </si>
  <si>
    <t>Passaggi da altra Amministrazione dello stesso comparto (*)</t>
  </si>
  <si>
    <t>Passaggi da altra Amministrazione di altro comparto (*)</t>
  </si>
  <si>
    <t>Tavola di controllo dei Valori Medi</t>
  </si>
  <si>
    <t>valori medi assenze</t>
  </si>
  <si>
    <r>
      <t xml:space="preserve">mensilità medie </t>
    </r>
    <r>
      <rPr>
        <b/>
        <sz val="7"/>
        <rFont val="Arial"/>
        <family val="2"/>
      </rPr>
      <t xml:space="preserve">
</t>
    </r>
    <r>
      <rPr>
        <sz val="7"/>
        <rFont val="Arial"/>
        <family val="2"/>
      </rPr>
      <t>(mensilità/12)</t>
    </r>
  </si>
  <si>
    <t>ASSENZE RETRIBUITE</t>
  </si>
  <si>
    <t>ASSENZE NON RETRIBUITE</t>
  </si>
  <si>
    <r>
      <t xml:space="preserve">TOTALE VOCI STIPENDIALI
TABELLA 12
</t>
    </r>
    <r>
      <rPr>
        <sz val="7"/>
        <rFont val="Small Fonts"/>
        <family val="2"/>
      </rPr>
      <t>(esclusi arr. anni prec. e recuperi)</t>
    </r>
  </si>
  <si>
    <t>INDENNITA' FISSE</t>
  </si>
  <si>
    <t>ALTRE ACCESSORIE</t>
  </si>
  <si>
    <r>
      <t xml:space="preserve">TOTALE INDENNITA' FISSE ED ACCESSORIE
TABELLA 13
</t>
    </r>
    <r>
      <rPr>
        <sz val="7"/>
        <rFont val="Small Fonts"/>
        <family val="2"/>
      </rPr>
      <t>(esclusi arretrati anni precedenti)</t>
    </r>
  </si>
  <si>
    <t>COMPONENTI COLLEGIO DEI REVISORI (O ORGANO EQUIVALENTE)</t>
  </si>
  <si>
    <t>RESPONSABILE DEL PROCEDIMENTO AMMINISTRATIVO DI CUI ALLA LEGGE 7/8/90, N. 241 CAPO II°</t>
  </si>
  <si>
    <t>SCIOPERO</t>
  </si>
  <si>
    <t>Tavola di compresenza tra importi comunicati in tab.13 e mensilità (tab.12) o personale esterno (tab.3)</t>
  </si>
  <si>
    <t>INFORMAZIONI ISTITUZIONE</t>
  </si>
  <si>
    <t>DOMANDE PRESENTI IN CIRCOLARE</t>
  </si>
  <si>
    <t>Collocamento a riposo per limiti di età</t>
  </si>
  <si>
    <t>Passaggi per esternalizzazioni (*)</t>
  </si>
  <si>
    <t>ALTRE SPESE ACCESSORIE ED INDENNITA' VARIE</t>
  </si>
  <si>
    <t>Nomina da concorso</t>
  </si>
  <si>
    <t>C01</t>
  </si>
  <si>
    <t>C03</t>
  </si>
  <si>
    <t>C17</t>
  </si>
  <si>
    <t>C18</t>
  </si>
  <si>
    <t>C19</t>
  </si>
  <si>
    <t>C99</t>
  </si>
  <si>
    <t>A23</t>
  </si>
  <si>
    <t>A24</t>
  </si>
  <si>
    <t>A27</t>
  </si>
  <si>
    <t>A28</t>
  </si>
  <si>
    <t>A29</t>
  </si>
  <si>
    <t>A30</t>
  </si>
  <si>
    <t>A31</t>
  </si>
  <si>
    <t>ALTRI PERMESSI ED ASSENZE RETRIBUITE</t>
  </si>
  <si>
    <t>ASS.RETRIB.:MATERNITA',CONGEDO PARENT.,MALATTIA FIGLIO</t>
  </si>
  <si>
    <t>LEGGE 104/92</t>
  </si>
  <si>
    <t>ASSENZE PER MALATTIA RETRIBUITE</t>
  </si>
  <si>
    <t>M04</t>
  </si>
  <si>
    <t>PR4</t>
  </si>
  <si>
    <t>PR5</t>
  </si>
  <si>
    <t>PR6</t>
  </si>
  <si>
    <t>ABRUZZO</t>
  </si>
  <si>
    <t xml:space="preserve">GESTIONE MENSE </t>
  </si>
  <si>
    <t>SOMME CORRISPOSTE AD AGENZIA DI SOMMINISTRAZIONE(INTERINALI)</t>
  </si>
  <si>
    <t>RETRIBUZIONI PERSONALE  A TEMPO DETERMINATO</t>
  </si>
  <si>
    <t>RETRIBUZIONI PERSONALE CON CONTRATTO DI FORMAZIONE E LAVORO</t>
  </si>
  <si>
    <t>CONTRIBUTI A CARICO DELL'AMM.NE SU COMP. FISSE E ACCESSORIE</t>
  </si>
  <si>
    <t>QUOTE ANNUE ACCANTONAMENTO TFR O ALTRA IND. FINE SERVIZIO</t>
  </si>
  <si>
    <t>ONERI PER I CONTRATTI DI SOMMINISTRAZIONE(INTERINALI)</t>
  </si>
  <si>
    <t>P098</t>
  </si>
  <si>
    <r>
      <t>ANOMALIE RISCONTRATE</t>
    </r>
    <r>
      <rPr>
        <b/>
        <sz val="10"/>
        <rFont val="Arial"/>
        <family val="2"/>
      </rPr>
      <t xml:space="preserve">
(attenzione: la seguente sezione verrà compilata in automatico; all'atto dell'inserimento dei dati nel kit verranno evidenziate eventuali anomalie)</t>
    </r>
  </si>
  <si>
    <t>Congruenza (max scostamento consentito +/- 2%)</t>
  </si>
  <si>
    <t>v. a. di f&lt;=2%</t>
  </si>
  <si>
    <t>tra 41 e 43 anni</t>
  </si>
  <si>
    <t>44 e oltre</t>
  </si>
  <si>
    <t>tra 65 e 67 anni</t>
  </si>
  <si>
    <t>68 e oltre</t>
  </si>
  <si>
    <t>C25</t>
  </si>
  <si>
    <t>O10</t>
  </si>
  <si>
    <t>CONGEDI RETRIBUITI AI SENSI DELL'ART.42,C.5, DLGS 151/2001</t>
  </si>
  <si>
    <t>SOMME RIMBORSATE PER PERSONALE COMAND./FUORI RUOLO/IN CONV.</t>
  </si>
  <si>
    <t>ALTRE SOMME RIMBORSATE ALLE AMMINISTRAZIONI</t>
  </si>
  <si>
    <t>P074</t>
  </si>
  <si>
    <t>P099</t>
  </si>
  <si>
    <t>c=(b/a)</t>
  </si>
  <si>
    <t>f=(e/a)</t>
  </si>
  <si>
    <t>Incidenza percentuale arretrati a.p.</t>
  </si>
  <si>
    <t>Incidenza percentuale altre accessorie</t>
  </si>
  <si>
    <t>Incongruenza 8</t>
  </si>
  <si>
    <t>IN 8</t>
  </si>
  <si>
    <t>c&lt;=20%</t>
  </si>
  <si>
    <t>f&lt;=20%</t>
  </si>
  <si>
    <t>Congruenza (max incidenza consentita 20%)</t>
  </si>
  <si>
    <t>Tavola di controllo della spesa per "arretrati a.p." e "altre accessorie" di T13: incidenza % di ciascun valore sul totale di Tabella 13</t>
  </si>
  <si>
    <t>A015</t>
  </si>
  <si>
    <t>A035</t>
  </si>
  <si>
    <t>A045</t>
  </si>
  <si>
    <t>A070</t>
  </si>
  <si>
    <t>M000</t>
  </si>
  <si>
    <t>NOTE</t>
  </si>
  <si>
    <t>Voce di spesa (Tab 14)</t>
  </si>
  <si>
    <t>codice (Tab 14)</t>
  </si>
  <si>
    <t>Valore Medio Unitario:
b / a</t>
  </si>
  <si>
    <t>Incidenza % 
L105 / P062</t>
  </si>
  <si>
    <t>Compresenza 
e/o 
controllo incidenza %</t>
  </si>
  <si>
    <t>RIMBORSI RICEVUTI PER PERS. COMAND./FUORI RUOLO/IN CONV. (-)</t>
  </si>
  <si>
    <t>SOMME RICEVUTE DA U.E. E/O PRIVATI (-)</t>
  </si>
  <si>
    <t>ALTRI RIMBORSI RICEVUTI DALLE AMMINISTRAZIONI (-)</t>
  </si>
  <si>
    <t>(*)  gli importi vanno indicati in EURO, senza cifre decimali (cfr. circolare: "istruzioni generali e specifiche di comparto")</t>
  </si>
  <si>
    <r>
      <t xml:space="preserve">valori medi annui pro-capite per voci retributive a carattere "stipendiale" </t>
    </r>
    <r>
      <rPr>
        <sz val="8"/>
        <rFont val="Arial"/>
        <family val="2"/>
      </rPr>
      <t>(**)</t>
    </r>
  </si>
  <si>
    <r>
      <t>valori medi annui pro-capite per indennità e compensi accessori</t>
    </r>
    <r>
      <rPr>
        <sz val="8"/>
        <rFont val="Arial"/>
        <family val="2"/>
      </rPr>
      <t xml:space="preserve"> (**)</t>
    </r>
  </si>
  <si>
    <t>(**) Valore medio annuo pro-capite calcolato dividendo la spesa per le unità di riferimento (mensilità della T12 / 12)</t>
  </si>
  <si>
    <t>assenze in T11, ma nessuna unità in T1</t>
  </si>
  <si>
    <t xml:space="preserve">Controllo incidenza % L105 / P062  =&gt;  </t>
  </si>
  <si>
    <t>Incongruenza
[(a-gg formazione)&gt;(mens.T12/12*260)]</t>
  </si>
  <si>
    <r>
      <t xml:space="preserve">*(asterisco): si intende campo obbligatorio
</t>
    </r>
    <r>
      <rPr>
        <sz val="9"/>
        <rFont val="Arial"/>
        <family val="2"/>
      </rPr>
      <t/>
    </r>
  </si>
  <si>
    <t>IIS</t>
  </si>
  <si>
    <t>A020</t>
  </si>
  <si>
    <t>PERSONALE DIRIGENTE</t>
  </si>
  <si>
    <t>0D00NF</t>
  </si>
  <si>
    <t>0000ND</t>
  </si>
  <si>
    <t>LI</t>
  </si>
  <si>
    <t>COMPENSI ACCESSORI</t>
  </si>
  <si>
    <t>S400</t>
  </si>
  <si>
    <t>IND. DI VACANZA CONTRATTUALE</t>
  </si>
  <si>
    <t>I422</t>
  </si>
  <si>
    <t>I400</t>
  </si>
  <si>
    <t>Indicare il numero delle unita rilevate in tabella 1 tra i "presenti al 31.12" che risultavano titolari di permessi per legge n. 104/92.</t>
  </si>
  <si>
    <t>Indicare il numero delle unita rilevate in tabella 1 tra i "presenti al 31.12" che risultavano titolari di permessi ai sensi dell'art. 42, c.5 D.lgs.151/2001.</t>
  </si>
  <si>
    <t>T12 non compilata o assenze comunicate &gt; gg lavorabili (</t>
  </si>
  <si>
    <t>TOTALE del personale da distribuire</t>
  </si>
  <si>
    <t>REFERENTE DA CONTATTARE</t>
  </si>
  <si>
    <t>Domande SI_1</t>
  </si>
  <si>
    <t>Unità annue
dichiarate in SI_1</t>
  </si>
  <si>
    <t>Totale presenti al
31-12 dichiarati in T1</t>
  </si>
  <si>
    <t>Controllo</t>
  </si>
  <si>
    <t>Assenze dichiarate</t>
  </si>
  <si>
    <t xml:space="preserve">Compresenza </t>
  </si>
  <si>
    <t>VOCI DI SPESA RILEVATE</t>
  </si>
  <si>
    <t>IMPORTO SICO</t>
  </si>
  <si>
    <t>IMPORTO BILANCIO (*)</t>
  </si>
  <si>
    <t>TABELLA 12</t>
  </si>
  <si>
    <t>A999</t>
  </si>
  <si>
    <t>TABELLA 13</t>
  </si>
  <si>
    <t>###</t>
  </si>
  <si>
    <t>ASSEGNI NUCLEO FAMILIARE</t>
  </si>
  <si>
    <t>GESTIONE MENSE</t>
  </si>
  <si>
    <t>CONTRATTI PER RESA SERVIZI /ADEMPIMENTI OBBLIGATORI PER LEGGE</t>
  </si>
  <si>
    <t xml:space="preserve">CONTRIBUTI A CARICO DELL'AMMINISTRAZIONE SU COMPETENZE FISSE ED ACCESSORIE </t>
  </si>
  <si>
    <t xml:space="preserve">IRAP </t>
  </si>
  <si>
    <t>SOMME RIMBORSATE ALLE AMMINISTRAZIONI PER SPESE DI PERSONALE (sommatoria dei diversi rimborsi presenti in tabella 14)</t>
  </si>
  <si>
    <t>P998</t>
  </si>
  <si>
    <t>TOTALE GENERALE</t>
  </si>
  <si>
    <t>RIMBORSI RICEVUTI  DALLE AMMINISTRAZIONI PER SPESE DI PERSONALE  (a riduzione) (sommatoria dei diversi rimborsi presenti in tabella 14)</t>
  </si>
  <si>
    <t>P999</t>
  </si>
  <si>
    <t>TOTALE GENERALE AL NETTO DEI RIMBORSI</t>
  </si>
  <si>
    <t>TRC</t>
  </si>
  <si>
    <t>NOTE: Elenco Istituzioni ed importi dei rimborsi effettuati (**)</t>
  </si>
  <si>
    <t>NOTE: Elenco Istituzioni ed importi dei rimborsi ricevuti (***)</t>
  </si>
  <si>
    <t>(**) campo riservato all'inserimento delle informazioni di dettaglio (nome Istituzione ed importo) riguardanti i rimborsi effettuati (P071, P074). Eventuali note su altre voci di spesa dovranno essere immesse nel campo "note e chiarimenti" della SI_1</t>
  </si>
  <si>
    <t>(***) campo riservato all'inserimento delle informazioni di dettaglio (nome Istituzione ed importo) riguardanti i rimborsi ricevuti (P090, P098, P099). Eventuali note su altre voci di spesa dovranno essere immesse nel campo "note e chiarimenti" della SI_1</t>
  </si>
  <si>
    <t>SOMME CORRISPOSTE AD AGENZIA DI SOMMINISTRAZIONE (INTERINALI)</t>
  </si>
  <si>
    <t>ONERI PER I CONTRATTI DI SOMMINISTRAZIONE (INTERINALI)</t>
  </si>
  <si>
    <t xml:space="preserve">RETRIBUZIONI PERSONALE A TEMPO DETERMINATO </t>
  </si>
  <si>
    <t>QUOTE ANNUE DI ACCANTONAMENTO  TFR O ALTRA INDENNITA'  FINE SERVIZIO</t>
  </si>
  <si>
    <t>COMPENSI PER PERSONALE ADDETTO A LAVORI SOCIALMENTE UTILI</t>
  </si>
  <si>
    <t>C21</t>
  </si>
  <si>
    <t>A35</t>
  </si>
  <si>
    <t>CONTRIBUTI A CARICO DELL'AMM.NE PER FONDI PREV. COMPLEMENTARE</t>
  </si>
  <si>
    <t>P035</t>
  </si>
  <si>
    <t>Si</t>
  </si>
  <si>
    <t>No</t>
  </si>
  <si>
    <r>
      <rPr>
        <b/>
        <sz val="7"/>
        <rFont val="Helv"/>
      </rPr>
      <t>IRAP</t>
    </r>
    <r>
      <rPr>
        <sz val="7"/>
        <rFont val="Helv"/>
      </rPr>
      <t xml:space="preserve">
</t>
    </r>
    <r>
      <rPr>
        <b/>
        <sz val="7"/>
        <rFont val="Helv"/>
      </rPr>
      <t>Commerciale</t>
    </r>
  </si>
  <si>
    <t>Coerenza T1 con personale T3 OUT</t>
  </si>
  <si>
    <t>Coerenza distribuzione territoriale</t>
  </si>
  <si>
    <t>a&gt;=(e+f+g+h+i)</t>
  </si>
  <si>
    <t>l&gt;=(p+q+r+s+t)</t>
  </si>
  <si>
    <t xml:space="preserve">sono presenti unità in T1 o personale esterno in T3, ma non assenze in T11 </t>
  </si>
  <si>
    <t>ATTENZIONE: Per gli Enti che non sono tenuti all’invio della Tabella 10, la Tavola va considerata con riferimento al diagnostico della colonna “Coerenza T1 con personale T3 OUT”</t>
  </si>
  <si>
    <t>S999</t>
  </si>
  <si>
    <t>PERSONALE NON DIRIGENTE</t>
  </si>
  <si>
    <t>LS13</t>
  </si>
  <si>
    <t>COMPENSI PER PERSONALE LSU/LPU</t>
  </si>
  <si>
    <t>Personale stabilizzato da LSU/LPU</t>
  </si>
  <si>
    <t>NOTE E CHIARIMENTI ALLA RILEVAZIONE
(max 1500 caratteri)</t>
  </si>
  <si>
    <r>
      <t xml:space="preserve">COGNOME </t>
    </r>
    <r>
      <rPr>
        <b/>
        <sz val="12"/>
        <rFont val="Arial"/>
        <family val="2"/>
      </rPr>
      <t>*</t>
    </r>
  </si>
  <si>
    <r>
      <t xml:space="preserve">NOME </t>
    </r>
    <r>
      <rPr>
        <b/>
        <sz val="12"/>
        <rFont val="Arial"/>
        <family val="2"/>
      </rPr>
      <t>*</t>
    </r>
  </si>
  <si>
    <r>
      <t xml:space="preserve">E-Mail </t>
    </r>
    <r>
      <rPr>
        <b/>
        <sz val="12"/>
        <rFont val="Arial"/>
        <family val="2"/>
      </rPr>
      <t>*</t>
    </r>
  </si>
  <si>
    <r>
      <rPr>
        <sz val="8"/>
        <rFont val="Arial"/>
        <family val="2"/>
      </rPr>
      <t xml:space="preserve">TELEFONO </t>
    </r>
    <r>
      <rPr>
        <b/>
        <sz val="12"/>
        <rFont val="Arial"/>
        <family val="2"/>
      </rPr>
      <t>*</t>
    </r>
  </si>
  <si>
    <t>Indicare il numero di contratti per prestazioni professionali consistenti nella resa di servizi o adempimenti obbligatori per legge.</t>
  </si>
  <si>
    <t>numero contratti</t>
  </si>
  <si>
    <t>Risoluz. rapporto di lavoro</t>
  </si>
  <si>
    <t>Somme
dichiarate in SI_1</t>
  </si>
  <si>
    <t>Indicare il totale delle somme trattenute ai dipendenti nell'anno di rilevazione per le assenze per malattia in applicazione dell'art. 71 del D.L. n. 112 del 25/06/2008 convertito in L. 133/2008.</t>
  </si>
  <si>
    <t xml:space="preserve"> Incongruenza 1</t>
  </si>
  <si>
    <t>Tavola di compresenza tra valori di organico di personale con rapporto di lavoro flessibile di Scheda Informativa 1 e relativa spesa di Tabella 14</t>
  </si>
  <si>
    <t>Tipologia lavoro flessibile (SI_1)</t>
  </si>
  <si>
    <t>Unità annue 
(SI_1)</t>
  </si>
  <si>
    <t xml:space="preserve"> Incongruenza 11</t>
  </si>
  <si>
    <t>Tavola di compresenza tra valori di organico di personale con rapporto di lavoro flessibile di Tabella 2 e relativa spesa di Tabella 14</t>
  </si>
  <si>
    <t>Tipologia lavoro flessibile (Tab 2)</t>
  </si>
  <si>
    <t>Unità annue 
(Tab 2)</t>
  </si>
  <si>
    <t>Tavola di coerenza tra valori dichiarati in SI_1 come appartenenti a categorie protette, titolari di permessi per legge n. 104/92, titolari di permessi ai sensi dell'art. 42, comma 5 d.lgs. 151/2001, con il personale indicato in  Tab. 1</t>
  </si>
  <si>
    <t xml:space="preserve"> Incongruenza 12</t>
  </si>
  <si>
    <t xml:space="preserve">Tavola di compresenza tra valori dichiarati nella SI_1 come titolari di permessi per legge n. 104/92 e titolari di permessi ai sensi dell'art. 42, comma 5 d.lgs. 151/2001, con le giornate di assenza indicate in Tab. 11 </t>
  </si>
  <si>
    <t xml:space="preserve"> Incongruenza 13</t>
  </si>
  <si>
    <t>Tavola di compresenza tra le somme trattenute per malattia indicate nella SI_1 e i giorni di assenza per malattia retribuita indicati nella Tab. 11</t>
  </si>
  <si>
    <t>Tavola di congruenza tra i giorni di assenza indicati nella Tabella 11 e i valori di organico inseriti nelle Tabelle 1, 3, 4, 5 (incongruenza 7)</t>
  </si>
  <si>
    <t xml:space="preserve">Tavola di congruenza tra i giorni totali pro-capite di assenza (escluse assenze per formazione e quelle non retribuite) calcolati dai valori indicati nella Tabella 11, con il numero MAX dei gg lavorativi annui
</t>
  </si>
  <si>
    <t>Totale della Tabella T11 esclusa formazione e altre ass. non retribuite</t>
  </si>
  <si>
    <t>Mensilità/12</t>
  </si>
  <si>
    <t>Incongruenza 14</t>
  </si>
  <si>
    <t>IN11</t>
  </si>
  <si>
    <t>IN12</t>
  </si>
  <si>
    <t>IN14</t>
  </si>
  <si>
    <t>PERSONALE IN ASPETTATIVA</t>
  </si>
  <si>
    <t>R.I.A.</t>
  </si>
  <si>
    <t>A031</t>
  </si>
  <si>
    <t>A032</t>
  </si>
  <si>
    <t xml:space="preserve">STIPENDIO 
più I.I.S </t>
  </si>
  <si>
    <t>Personale in aspettativa (OUT)
(Tab 3)</t>
  </si>
  <si>
    <t>LSU/LPU/ASU(*)</t>
  </si>
  <si>
    <t>Anzianità di servizio maturata al 31/12, anche in modo non continuativo, nell'attuale o in altre amministrazioni</t>
  </si>
  <si>
    <t>Fino a 1 anno</t>
  </si>
  <si>
    <t>Da 1 a 2 anni</t>
  </si>
  <si>
    <t>Da 2 a 3 anni</t>
  </si>
  <si>
    <t>Oltre i 3 anni</t>
  </si>
  <si>
    <t>Uomo / Donna</t>
  </si>
  <si>
    <t>Tempo determinato</t>
  </si>
  <si>
    <t>TOTALE Tempo determinato</t>
  </si>
  <si>
    <t>T2A</t>
  </si>
  <si>
    <t>A41</t>
  </si>
  <si>
    <t>Licenziamenti disposti dall’ente</t>
  </si>
  <si>
    <t>IN 17</t>
  </si>
  <si>
    <t xml:space="preserve">Numero
Inc.
</t>
  </si>
  <si>
    <r>
      <rPr>
        <b/>
        <sz val="8"/>
        <color indexed="10"/>
        <rFont val="Arial"/>
        <family val="2"/>
      </rPr>
      <t xml:space="preserve">Incongruenza
17
</t>
    </r>
    <r>
      <rPr>
        <b/>
        <sz val="8"/>
        <rFont val="Arial"/>
        <family val="2"/>
      </rPr>
      <t xml:space="preserve">
Controllare RIA e Progressione per scatti</t>
    </r>
  </si>
  <si>
    <t>RIA</t>
  </si>
  <si>
    <t>Progressioni</t>
  </si>
  <si>
    <t>no</t>
  </si>
  <si>
    <t>si</t>
  </si>
  <si>
    <t>numero giorni</t>
  </si>
  <si>
    <t xml:space="preserve">Indicare il numero dei giorni concessi ai dipendenti posti in esenzione dal servizio per emergenza COVID-19 </t>
  </si>
  <si>
    <t xml:space="preserve">Indicare il numero di dipendenti posti in esenzione dal servizio per emergenza COVID-19 </t>
  </si>
  <si>
    <t>Dimissioni con diritto a pensione</t>
  </si>
  <si>
    <t>SEGNALAZIONE - Nuovo controllo</t>
  </si>
  <si>
    <t>C28</t>
  </si>
  <si>
    <t>Dimissioni senza diritto a pensione</t>
  </si>
  <si>
    <t>Personale stabilizzato ex Art. 35, c.3-Bis, DLGS 165/01</t>
  </si>
  <si>
    <t>Personale stabilizzato ex art. 20 D.Lgs.75/2017</t>
  </si>
  <si>
    <t>Z02</t>
  </si>
  <si>
    <t>LAVORO A DISTANZA</t>
  </si>
  <si>
    <t>Il personale a Tempo determinato è cessato il 31/12?</t>
  </si>
  <si>
    <t>Smart working (**)
Personale indicato in T1</t>
  </si>
  <si>
    <t>Telelavoro (**)
Personale indicato in T1</t>
  </si>
  <si>
    <t>Coworking (**)
Personale indicato in T1</t>
  </si>
  <si>
    <t>Lavoro Agile (**)</t>
  </si>
  <si>
    <t>Telelavoro (**)</t>
  </si>
  <si>
    <t>Coworking (**)</t>
  </si>
  <si>
    <t>Personale soggetto a turnazione (**)</t>
  </si>
  <si>
    <t>Personale soggetto a reperibilità (**)</t>
  </si>
  <si>
    <t>Personale non dirigente</t>
  </si>
  <si>
    <t xml:space="preserve">Tavola di congruenza tra il personale a Tempo Determinato comunicato in T2 con la ripartizione dello stesso personale comunicato in T2A
</t>
  </si>
  <si>
    <t>Totale T2</t>
  </si>
  <si>
    <t>Totale T2A</t>
  </si>
  <si>
    <t>Confronto T2/T2A</t>
  </si>
  <si>
    <t>U+D</t>
  </si>
  <si>
    <t>a con d</t>
  </si>
  <si>
    <t>b con e</t>
  </si>
  <si>
    <t>IN 10</t>
  </si>
  <si>
    <t>Quante persone sono state assunte nell’anno a tempo determinato con le risorse del PNRR?</t>
  </si>
  <si>
    <t>Quante persone sono state assunte nell’anno con altre forme flessibili di lavoro (ex interinali, LSU, formazione lavoro) con le risorse del PNRR?</t>
  </si>
  <si>
    <t>Indicare il numero dei contratti di collaborazioni professionali.</t>
  </si>
  <si>
    <t>Con quante persone sono stati sottoscritti contratti di collaborazioni professionali e incarichi nell’anno con le risorse del PNRR?</t>
  </si>
  <si>
    <t>Indicare il numero degli incarichi di studio, ricerca e consulenza.</t>
  </si>
  <si>
    <t>Personale con contratti di Collaborazioni Professionali</t>
  </si>
  <si>
    <t>L111</t>
  </si>
  <si>
    <t>L112</t>
  </si>
  <si>
    <t>CONTRATTI DI COLLABORAZIONE PROFESSIONALE</t>
  </si>
  <si>
    <t>INCARICHI DI STUDIO/RICERCA/CONSULENZA</t>
  </si>
  <si>
    <t>PROGRESSIONE CLASSI E SCATTI / FASCE / DIFFERENZIALI STIPENDIALI</t>
  </si>
  <si>
    <t>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</si>
</sst>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164" formatCode="General_)"/>
    <numFmt numFmtId="165" formatCode="_-&quot;L.&quot;\ * #,##0_-;\-&quot;L.&quot;\ * #,##0_-;_-&quot;L.&quot;\ * &quot;-&quot;_-;_-@_-"/>
    <numFmt numFmtId="166" formatCode="[$€]\ #,##0;[Red]\-[$€]\ #,##0"/>
    <numFmt numFmtId="167" formatCode=";;;"/>
    <numFmt numFmtId="168" formatCode="#,###"/>
    <numFmt numFmtId="169" formatCode="#,##0;\-#,##0;&quot; &quot;"/>
    <numFmt numFmtId="170" formatCode="#,##0.00;\-#,##0.00;&quot; &quot;"/>
    <numFmt numFmtId="171" formatCode="#,###.00;\-#,###.00;;"/>
  </numFmts>
  <fonts count="118">
    <font>
      <sz val="8"/>
      <name val="Helv"/>
    </font>
    <font>
      <sz val="10"/>
      <name val="MS Sans Serif"/>
      <family val="2"/>
    </font>
    <font>
      <b/>
      <sz val="12"/>
      <name val="Arial"/>
      <family val="2"/>
    </font>
    <font>
      <sz val="8"/>
      <name val="Arial"/>
      <family val="2"/>
    </font>
    <font>
      <sz val="9"/>
      <name val="Arial"/>
      <family val="2"/>
    </font>
    <font>
      <b/>
      <sz val="10"/>
      <name val="Arial"/>
      <family val="2"/>
    </font>
    <font>
      <b/>
      <sz val="8"/>
      <name val="Arial"/>
      <family val="2"/>
    </font>
    <font>
      <b/>
      <sz val="18"/>
      <name val="Times New Roman"/>
      <family val="1"/>
    </font>
    <font>
      <u/>
      <sz val="6.4"/>
      <color indexed="12"/>
      <name val="Helv"/>
    </font>
    <font>
      <sz val="11"/>
      <name val="Arial"/>
      <family val="2"/>
    </font>
    <font>
      <b/>
      <i/>
      <sz val="8"/>
      <name val="Arial"/>
      <family val="2"/>
    </font>
    <font>
      <i/>
      <sz val="8"/>
      <name val="Arial"/>
      <family val="2"/>
    </font>
    <font>
      <sz val="8"/>
      <name val="MS Serif"/>
      <family val="1"/>
    </font>
    <font>
      <b/>
      <sz val="8"/>
      <name val="Arial"/>
      <family val="2"/>
    </font>
    <font>
      <sz val="8"/>
      <name val="Arial"/>
      <family val="2"/>
    </font>
    <font>
      <sz val="10"/>
      <name val="Arial"/>
      <family val="2"/>
    </font>
    <font>
      <b/>
      <sz val="6"/>
      <name val="Arial"/>
      <family val="2"/>
    </font>
    <font>
      <b/>
      <sz val="6"/>
      <name val="Arial"/>
      <family val="2"/>
    </font>
    <font>
      <sz val="7"/>
      <name val="MS Serif"/>
      <family val="1"/>
    </font>
    <font>
      <sz val="6"/>
      <name val="MS Serif"/>
      <family val="1"/>
    </font>
    <font>
      <b/>
      <sz val="7"/>
      <name val="Arial"/>
      <family val="2"/>
    </font>
    <font>
      <b/>
      <sz val="10"/>
      <name val="Arial"/>
      <family val="2"/>
    </font>
    <font>
      <b/>
      <sz val="11"/>
      <name val="Arial"/>
      <family val="2"/>
    </font>
    <font>
      <sz val="10"/>
      <name val="Arial"/>
      <family val="2"/>
    </font>
    <font>
      <sz val="7"/>
      <name val="Arial"/>
      <family val="2"/>
    </font>
    <font>
      <sz val="12"/>
      <name val="Arial"/>
      <family val="2"/>
    </font>
    <font>
      <b/>
      <sz val="12"/>
      <name val="Arial"/>
      <family val="2"/>
    </font>
    <font>
      <b/>
      <sz val="9"/>
      <name val="Arial"/>
      <family val="2"/>
    </font>
    <font>
      <sz val="7"/>
      <name val="Arial"/>
      <family val="2"/>
    </font>
    <font>
      <sz val="8"/>
      <name val="Helv"/>
    </font>
    <font>
      <b/>
      <sz val="8"/>
      <name val="Helv"/>
    </font>
    <font>
      <b/>
      <sz val="6"/>
      <name val="MS Serif"/>
      <family val="1"/>
    </font>
    <font>
      <i/>
      <sz val="9"/>
      <name val="Arial"/>
      <family val="2"/>
    </font>
    <font>
      <sz val="8"/>
      <color indexed="10"/>
      <name val="Arial"/>
      <family val="2"/>
    </font>
    <font>
      <b/>
      <sz val="8"/>
      <color indexed="10"/>
      <name val="Arial"/>
      <family val="2"/>
    </font>
    <font>
      <i/>
      <sz val="8"/>
      <name val="Helv"/>
    </font>
    <font>
      <b/>
      <i/>
      <sz val="12"/>
      <name val="Helv"/>
    </font>
    <font>
      <sz val="6"/>
      <name val="MS Serif"/>
      <family val="1"/>
    </font>
    <font>
      <b/>
      <i/>
      <sz val="11"/>
      <name val="Arial"/>
      <family val="2"/>
    </font>
    <font>
      <sz val="10"/>
      <name val="Courier"/>
      <family val="3"/>
    </font>
    <font>
      <sz val="15"/>
      <name val="Times New Roman"/>
      <family val="1"/>
    </font>
    <font>
      <sz val="15"/>
      <name val="Arial"/>
      <family val="2"/>
    </font>
    <font>
      <b/>
      <sz val="15"/>
      <name val="Arial"/>
      <family val="2"/>
    </font>
    <font>
      <sz val="14"/>
      <name val="Arial"/>
      <family val="2"/>
    </font>
    <font>
      <sz val="8"/>
      <name val="Times New Roman"/>
      <family val="1"/>
    </font>
    <font>
      <sz val="7.5"/>
      <name val="Arial"/>
      <family val="2"/>
    </font>
    <font>
      <sz val="8"/>
      <name val="Courier"/>
      <family val="3"/>
    </font>
    <font>
      <sz val="10"/>
      <color indexed="10"/>
      <name val="Arial"/>
      <family val="2"/>
    </font>
    <font>
      <i/>
      <sz val="8"/>
      <name val="Arial"/>
      <family val="2"/>
    </font>
    <font>
      <b/>
      <sz val="10"/>
      <name val="Times New Roman"/>
      <family val="1"/>
    </font>
    <font>
      <sz val="12"/>
      <name val="Courier"/>
      <family val="3"/>
    </font>
    <font>
      <b/>
      <sz val="8"/>
      <color indexed="9"/>
      <name val="Helv"/>
    </font>
    <font>
      <sz val="8"/>
      <color indexed="9"/>
      <name val="Helv"/>
    </font>
    <font>
      <sz val="8"/>
      <name val="Helv"/>
    </font>
    <font>
      <sz val="8.5"/>
      <name val="MS Serif"/>
      <family val="1"/>
    </font>
    <font>
      <b/>
      <sz val="12"/>
      <color indexed="10"/>
      <name val="Arial"/>
      <family val="2"/>
    </font>
    <font>
      <sz val="12"/>
      <name val="Times New Roman"/>
      <family val="1"/>
    </font>
    <font>
      <b/>
      <sz val="9"/>
      <color indexed="10"/>
      <name val="Courier"/>
      <family val="3"/>
    </font>
    <font>
      <b/>
      <i/>
      <sz val="9"/>
      <color indexed="48"/>
      <name val="Courier"/>
      <family val="3"/>
    </font>
    <font>
      <u/>
      <sz val="6.4"/>
      <color indexed="12"/>
      <name val="Arial"/>
      <family val="2"/>
    </font>
    <font>
      <sz val="10"/>
      <color indexed="10"/>
      <name val="Courier"/>
      <family val="3"/>
    </font>
    <font>
      <sz val="12"/>
      <name val="Courier"/>
      <family val="3"/>
    </font>
    <font>
      <b/>
      <sz val="8"/>
      <color indexed="10"/>
      <name val="Courier"/>
      <family val="3"/>
    </font>
    <font>
      <sz val="8"/>
      <color indexed="8"/>
      <name val="Trebuchet MS"/>
      <family val="2"/>
    </font>
    <font>
      <sz val="8"/>
      <color indexed="9"/>
      <name val="Trebuchet MS"/>
      <family val="2"/>
    </font>
    <font>
      <b/>
      <sz val="8"/>
      <color indexed="52"/>
      <name val="Trebuchet MS"/>
      <family val="2"/>
    </font>
    <font>
      <sz val="8"/>
      <color indexed="52"/>
      <name val="Trebuchet MS"/>
      <family val="2"/>
    </font>
    <font>
      <b/>
      <sz val="8"/>
      <color indexed="9"/>
      <name val="Trebuchet MS"/>
      <family val="2"/>
    </font>
    <font>
      <sz val="8"/>
      <color indexed="62"/>
      <name val="Trebuchet MS"/>
      <family val="2"/>
    </font>
    <font>
      <sz val="8"/>
      <color indexed="60"/>
      <name val="Trebuchet MS"/>
      <family val="2"/>
    </font>
    <font>
      <b/>
      <sz val="8"/>
      <color indexed="63"/>
      <name val="Trebuchet MS"/>
      <family val="2"/>
    </font>
    <font>
      <sz val="10"/>
      <name val="MS Sans Serif"/>
      <family val="2"/>
    </font>
    <font>
      <sz val="8"/>
      <color indexed="10"/>
      <name val="Trebuchet MS"/>
      <family val="2"/>
    </font>
    <font>
      <i/>
      <sz val="8"/>
      <color indexed="23"/>
      <name val="Trebuchet MS"/>
      <family val="2"/>
    </font>
    <font>
      <b/>
      <sz val="18"/>
      <color indexed="56"/>
      <name val="Cambria"/>
      <family val="2"/>
    </font>
    <font>
      <b/>
      <sz val="15"/>
      <color indexed="56"/>
      <name val="Trebuchet MS"/>
      <family val="2"/>
    </font>
    <font>
      <b/>
      <sz val="13"/>
      <color indexed="56"/>
      <name val="Trebuchet MS"/>
      <family val="2"/>
    </font>
    <font>
      <b/>
      <sz val="11"/>
      <color indexed="56"/>
      <name val="Trebuchet MS"/>
      <family val="2"/>
    </font>
    <font>
      <b/>
      <sz val="8"/>
      <color indexed="8"/>
      <name val="Trebuchet MS"/>
      <family val="2"/>
    </font>
    <font>
      <sz val="8"/>
      <color indexed="20"/>
      <name val="Trebuchet MS"/>
      <family val="2"/>
    </font>
    <font>
      <sz val="8"/>
      <color indexed="17"/>
      <name val="Trebuchet MS"/>
      <family val="2"/>
    </font>
    <font>
      <sz val="11"/>
      <color indexed="10"/>
      <name val="Arial"/>
      <family val="2"/>
    </font>
    <font>
      <b/>
      <sz val="10"/>
      <color indexed="8"/>
      <name val="Arial"/>
      <family val="2"/>
    </font>
    <font>
      <sz val="7"/>
      <name val="Small Fonts"/>
      <family val="2"/>
    </font>
    <font>
      <sz val="7"/>
      <color indexed="30"/>
      <name val="Arial"/>
      <family val="2"/>
    </font>
    <font>
      <sz val="8"/>
      <color indexed="30"/>
      <name val="Arial"/>
      <family val="2"/>
    </font>
    <font>
      <b/>
      <sz val="11"/>
      <color indexed="8"/>
      <name val="Arial"/>
      <family val="2"/>
    </font>
    <font>
      <b/>
      <sz val="6"/>
      <color indexed="8"/>
      <name val="Arial"/>
      <family val="2"/>
    </font>
    <font>
      <b/>
      <sz val="10"/>
      <color indexed="10"/>
      <name val="Arial"/>
      <family val="2"/>
    </font>
    <font>
      <b/>
      <sz val="9"/>
      <color indexed="48"/>
      <name val="Courier"/>
      <family val="3"/>
    </font>
    <font>
      <u/>
      <sz val="8"/>
      <name val="Helv"/>
    </font>
    <font>
      <u/>
      <sz val="10"/>
      <color indexed="12"/>
      <name val="Arial"/>
      <family val="2"/>
    </font>
    <font>
      <sz val="7"/>
      <name val="Helv"/>
    </font>
    <font>
      <b/>
      <sz val="7"/>
      <name val="Helv"/>
    </font>
    <font>
      <b/>
      <sz val="16"/>
      <name val="Times New Roman"/>
      <family val="1"/>
    </font>
    <font>
      <b/>
      <i/>
      <sz val="13"/>
      <color indexed="8"/>
      <name val="Arial"/>
      <family val="2"/>
    </font>
    <font>
      <b/>
      <sz val="13"/>
      <color indexed="10"/>
      <name val="Arial"/>
      <family val="2"/>
    </font>
    <font>
      <b/>
      <i/>
      <sz val="9"/>
      <name val="Arial"/>
      <family val="2"/>
    </font>
    <font>
      <sz val="8"/>
      <name val="Trebuchet MS"/>
      <family val="2"/>
    </font>
    <font>
      <i/>
      <sz val="10"/>
      <name val="Arial"/>
      <family val="2"/>
    </font>
    <font>
      <i/>
      <sz val="10"/>
      <name val="MS Serif"/>
      <family val="1"/>
    </font>
    <font>
      <sz val="10"/>
      <name val="Helv"/>
    </font>
    <font>
      <sz val="12"/>
      <color theme="1"/>
      <name val="Times New Roman"/>
      <family val="2"/>
    </font>
    <font>
      <sz val="11"/>
      <color theme="1"/>
      <name val="Calibri"/>
      <family val="2"/>
      <scheme val="minor"/>
    </font>
    <font>
      <b/>
      <sz val="8"/>
      <color rgb="FFFF0000"/>
      <name val="Helv"/>
    </font>
    <font>
      <b/>
      <sz val="12"/>
      <color theme="0"/>
      <name val="Arial"/>
      <family val="2"/>
    </font>
    <font>
      <sz val="8"/>
      <color rgb="FFFF0000"/>
      <name val="Arial"/>
      <family val="2"/>
    </font>
    <font>
      <b/>
      <sz val="10"/>
      <color rgb="FFFF0000"/>
      <name val="Arial"/>
      <family val="2"/>
    </font>
    <font>
      <sz val="10"/>
      <color theme="0"/>
      <name val="Courier"/>
      <family val="3"/>
    </font>
    <font>
      <sz val="8"/>
      <color theme="0"/>
      <name val="Helv"/>
    </font>
    <font>
      <sz val="10"/>
      <color theme="0"/>
      <name val="Arial"/>
      <family val="2"/>
    </font>
    <font>
      <sz val="10"/>
      <color rgb="FFFF0000"/>
      <name val="Courier"/>
      <family val="3"/>
    </font>
    <font>
      <sz val="10"/>
      <color rgb="FFFF0000"/>
      <name val="Arial"/>
      <family val="2"/>
    </font>
    <font>
      <b/>
      <sz val="9"/>
      <color rgb="FFFF0000"/>
      <name val="Arial"/>
      <family val="2"/>
    </font>
    <font>
      <sz val="8"/>
      <color theme="0"/>
      <name val="Arial"/>
      <family val="2"/>
    </font>
    <font>
      <b/>
      <sz val="10"/>
      <color rgb="FFFF0000"/>
      <name val="Helv"/>
    </font>
    <font>
      <b/>
      <sz val="18"/>
      <color rgb="FFFF0000"/>
      <name val="Times New Roman"/>
      <family val="1"/>
    </font>
    <font>
      <sz val="8"/>
      <color rgb="FFFF0000"/>
      <name val="Helv"/>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4.9989318521683403E-2"/>
        <bgColor indexed="64"/>
      </patternFill>
    </fill>
  </fills>
  <borders count="169">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style="double">
        <color indexed="64"/>
      </right>
      <top/>
      <bottom style="medium">
        <color indexed="64"/>
      </bottom>
      <diagonal/>
    </border>
    <border>
      <left style="medium">
        <color indexed="64"/>
      </left>
      <right/>
      <top/>
      <bottom style="medium">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top/>
      <bottom/>
      <diagonal/>
    </border>
    <border>
      <left style="thin">
        <color indexed="64"/>
      </left>
      <right/>
      <top/>
      <bottom/>
      <diagonal/>
    </border>
    <border>
      <left style="medium">
        <color indexed="64"/>
      </left>
      <right/>
      <top style="double">
        <color indexed="64"/>
      </top>
      <bottom style="medium">
        <color indexed="64"/>
      </bottom>
      <diagonal/>
    </border>
    <border>
      <left style="double">
        <color indexed="64"/>
      </left>
      <right style="double">
        <color indexed="64"/>
      </right>
      <top style="medium">
        <color indexed="64"/>
      </top>
      <bottom/>
      <diagonal/>
    </border>
    <border>
      <left/>
      <right style="double">
        <color indexed="64"/>
      </right>
      <top style="medium">
        <color indexed="64"/>
      </top>
      <bottom/>
      <diagonal/>
    </border>
    <border>
      <left style="medium">
        <color indexed="64"/>
      </left>
      <right/>
      <top/>
      <bottom style="double">
        <color indexed="64"/>
      </bottom>
      <diagonal/>
    </border>
    <border>
      <left style="thin">
        <color indexed="64"/>
      </left>
      <right style="double">
        <color indexed="64"/>
      </right>
      <top/>
      <bottom style="double">
        <color indexed="64"/>
      </bottom>
      <diagonal/>
    </border>
    <border>
      <left style="double">
        <color indexed="64"/>
      </left>
      <right/>
      <top/>
      <bottom/>
      <diagonal/>
    </border>
    <border>
      <left/>
      <right style="double">
        <color indexed="64"/>
      </right>
      <top/>
      <bottom/>
      <diagonal/>
    </border>
    <border>
      <left style="thin">
        <color indexed="64"/>
      </left>
      <right/>
      <top style="double">
        <color indexed="64"/>
      </top>
      <bottom style="medium">
        <color indexed="64"/>
      </bottom>
      <diagonal/>
    </border>
    <border>
      <left/>
      <right style="medium">
        <color indexed="64"/>
      </right>
      <top style="medium">
        <color indexed="64"/>
      </top>
      <bottom style="thin">
        <color indexed="64"/>
      </bottom>
      <diagonal/>
    </border>
    <border>
      <left style="thin">
        <color indexed="64"/>
      </left>
      <right/>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medium">
        <color indexed="64"/>
      </right>
      <top/>
      <bottom style="double">
        <color indexed="64"/>
      </bottom>
      <diagonal/>
    </border>
    <border>
      <left style="double">
        <color indexed="64"/>
      </left>
      <right/>
      <top style="double">
        <color indexed="64"/>
      </top>
      <bottom/>
      <diagonal/>
    </border>
    <border>
      <left/>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double">
        <color indexed="64"/>
      </left>
      <right style="double">
        <color indexed="64"/>
      </right>
      <top style="double">
        <color indexed="64"/>
      </top>
      <bottom/>
      <diagonal/>
    </border>
    <border>
      <left/>
      <right style="double">
        <color indexed="64"/>
      </right>
      <top style="double">
        <color indexed="64"/>
      </top>
      <bottom/>
      <diagonal/>
    </border>
    <border>
      <left/>
      <right style="medium">
        <color indexed="64"/>
      </right>
      <top style="double">
        <color indexed="64"/>
      </top>
      <bottom/>
      <diagonal/>
    </border>
    <border>
      <left style="double">
        <color indexed="64"/>
      </left>
      <right style="medium">
        <color indexed="64"/>
      </right>
      <top style="double">
        <color indexed="64"/>
      </top>
      <bottom/>
      <diagonal/>
    </border>
    <border>
      <left style="medium">
        <color indexed="64"/>
      </left>
      <right style="thin">
        <color indexed="64"/>
      </right>
      <top/>
      <bottom style="double">
        <color indexed="64"/>
      </bottom>
      <diagonal/>
    </border>
    <border>
      <left style="medium">
        <color indexed="64"/>
      </left>
      <right/>
      <top style="medium">
        <color indexed="64"/>
      </top>
      <bottom style="thin">
        <color indexed="64"/>
      </bottom>
      <diagonal/>
    </border>
    <border>
      <left style="medium">
        <color indexed="64"/>
      </left>
      <right/>
      <top style="double">
        <color indexed="64"/>
      </top>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right style="double">
        <color indexed="64"/>
      </right>
      <top style="double">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double">
        <color indexed="64"/>
      </top>
      <bottom style="medium">
        <color indexed="64"/>
      </bottom>
      <diagonal/>
    </border>
    <border>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double">
        <color indexed="64"/>
      </left>
      <right/>
      <top/>
      <bottom style="thin">
        <color indexed="64"/>
      </bottom>
      <diagonal/>
    </border>
    <border>
      <left style="double">
        <color indexed="64"/>
      </left>
      <right style="medium">
        <color indexed="64"/>
      </right>
      <top/>
      <bottom style="thin">
        <color indexed="64"/>
      </bottom>
      <diagonal/>
    </border>
    <border>
      <left style="double">
        <color indexed="64"/>
      </left>
      <right style="double">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style="thin">
        <color indexed="64"/>
      </top>
      <bottom style="thin">
        <color indexed="64"/>
      </bottom>
      <diagonal/>
    </border>
    <border>
      <left/>
      <right/>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medium">
        <color indexed="64"/>
      </top>
      <bottom/>
      <diagonal/>
    </border>
    <border>
      <left/>
      <right/>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bottom style="double">
        <color indexed="64"/>
      </bottom>
      <diagonal/>
    </border>
    <border>
      <left style="thin">
        <color indexed="64"/>
      </left>
      <right style="double">
        <color indexed="64"/>
      </right>
      <top/>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double">
        <color indexed="64"/>
      </left>
      <right style="medium">
        <color indexed="64"/>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double">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diagonal/>
    </border>
    <border>
      <left style="double">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double">
        <color indexed="64"/>
      </left>
      <right style="medium">
        <color indexed="64"/>
      </right>
      <top/>
      <bottom style="medium">
        <color indexed="64"/>
      </bottom>
      <diagonal/>
    </border>
    <border>
      <left style="thin">
        <color indexed="64"/>
      </left>
      <right style="thin">
        <color indexed="64"/>
      </right>
      <top style="double">
        <color indexed="64"/>
      </top>
      <bottom style="medium">
        <color indexed="64"/>
      </bottom>
      <diagonal/>
    </border>
    <border>
      <left style="double">
        <color indexed="64"/>
      </left>
      <right style="thin">
        <color indexed="64"/>
      </right>
      <top/>
      <bottom style="thin">
        <color indexed="64"/>
      </bottom>
      <diagonal/>
    </border>
    <border>
      <left/>
      <right style="medium">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right/>
      <top/>
      <bottom style="medium">
        <color indexed="64"/>
      </bottom>
      <diagonal/>
    </border>
    <border>
      <left style="double">
        <color indexed="64"/>
      </left>
      <right style="double">
        <color indexed="64"/>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double">
        <color indexed="64"/>
      </top>
      <bottom style="medium">
        <color indexed="64"/>
      </bottom>
      <diagonal/>
    </border>
    <border>
      <left/>
      <right/>
      <top style="double">
        <color indexed="64"/>
      </top>
      <bottom style="thin">
        <color indexed="64"/>
      </bottom>
      <diagonal/>
    </border>
    <border>
      <left/>
      <right style="thin">
        <color indexed="64"/>
      </right>
      <top style="double">
        <color indexed="64"/>
      </top>
      <bottom style="medium">
        <color indexed="64"/>
      </bottom>
      <diagonal/>
    </border>
    <border>
      <left style="double">
        <color indexed="64"/>
      </left>
      <right style="thin">
        <color indexed="64"/>
      </right>
      <top style="thick">
        <color indexed="64"/>
      </top>
      <bottom style="thin">
        <color indexed="64"/>
      </bottom>
      <diagonal/>
    </border>
    <border>
      <left style="double">
        <color indexed="64"/>
      </left>
      <right/>
      <top/>
      <bottom style="thick">
        <color indexed="64"/>
      </bottom>
      <diagonal/>
    </border>
    <border>
      <left/>
      <right style="double">
        <color indexed="64"/>
      </right>
      <top/>
      <bottom style="thick">
        <color indexed="64"/>
      </bottom>
      <diagonal/>
    </border>
    <border>
      <left style="thin">
        <color indexed="64"/>
      </left>
      <right style="double">
        <color indexed="64"/>
      </right>
      <top style="thick">
        <color indexed="64"/>
      </top>
      <bottom style="thin">
        <color indexed="64"/>
      </bottom>
      <diagonal/>
    </border>
    <border>
      <left/>
      <right style="medium">
        <color indexed="64"/>
      </right>
      <top style="double">
        <color indexed="64"/>
      </top>
      <bottom style="medium">
        <color indexed="64"/>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right style="double">
        <color indexed="64"/>
      </right>
      <top style="thin">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thin">
        <color indexed="64"/>
      </left>
      <right style="double">
        <color indexed="64"/>
      </right>
      <top style="thick">
        <color indexed="64"/>
      </top>
      <bottom/>
      <diagonal/>
    </border>
    <border>
      <left style="thin">
        <color indexed="64"/>
      </left>
      <right style="double">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double">
        <color indexed="64"/>
      </left>
      <right style="double">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right/>
      <top style="thin">
        <color indexed="64"/>
      </top>
      <bottom style="medium">
        <color indexed="64"/>
      </bottom>
      <diagonal/>
    </border>
    <border>
      <left style="double">
        <color indexed="64"/>
      </left>
      <right style="medium">
        <color indexed="64"/>
      </right>
      <top style="double">
        <color indexed="64"/>
      </top>
      <bottom style="thin">
        <color indexed="64"/>
      </bottom>
      <diagonal/>
    </border>
    <border>
      <left style="double">
        <color indexed="64"/>
      </left>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double">
        <color indexed="64"/>
      </right>
      <top style="double">
        <color indexed="64"/>
      </top>
      <bottom/>
      <diagonal/>
    </border>
    <border>
      <left style="medium">
        <color indexed="64"/>
      </left>
      <right style="double">
        <color indexed="64"/>
      </right>
      <top/>
      <bottom style="double">
        <color indexed="64"/>
      </bottom>
      <diagonal/>
    </border>
    <border>
      <left/>
      <right style="medium">
        <color indexed="64"/>
      </right>
      <top style="medium">
        <color indexed="64"/>
      </top>
      <bottom/>
      <diagonal/>
    </border>
    <border>
      <left style="double">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double">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72">
    <xf numFmtId="0" fontId="0" fillId="0" borderId="0"/>
    <xf numFmtId="0" fontId="63" fillId="2" borderId="0" applyNumberFormat="0" applyBorder="0" applyAlignment="0" applyProtection="0"/>
    <xf numFmtId="0" fontId="63" fillId="3" borderId="0" applyNumberFormat="0" applyBorder="0" applyAlignment="0" applyProtection="0"/>
    <xf numFmtId="0" fontId="63" fillId="4" borderId="0" applyNumberFormat="0" applyBorder="0" applyAlignment="0" applyProtection="0"/>
    <xf numFmtId="0" fontId="63" fillId="5" borderId="0" applyNumberFormat="0" applyBorder="0" applyAlignment="0" applyProtection="0"/>
    <xf numFmtId="0" fontId="63" fillId="6" borderId="0" applyNumberFormat="0" applyBorder="0" applyAlignment="0" applyProtection="0"/>
    <xf numFmtId="0" fontId="63" fillId="7" borderId="0" applyNumberFormat="0" applyBorder="0" applyAlignment="0" applyProtection="0"/>
    <xf numFmtId="0" fontId="63" fillId="8" borderId="0" applyNumberFormat="0" applyBorder="0" applyAlignment="0" applyProtection="0"/>
    <xf numFmtId="0" fontId="63" fillId="9" borderId="0" applyNumberFormat="0" applyBorder="0" applyAlignment="0" applyProtection="0"/>
    <xf numFmtId="0" fontId="63" fillId="10" borderId="0" applyNumberFormat="0" applyBorder="0" applyAlignment="0" applyProtection="0"/>
    <xf numFmtId="0" fontId="63" fillId="5" borderId="0" applyNumberFormat="0" applyBorder="0" applyAlignment="0" applyProtection="0"/>
    <xf numFmtId="0" fontId="63" fillId="8" borderId="0" applyNumberFormat="0" applyBorder="0" applyAlignment="0" applyProtection="0"/>
    <xf numFmtId="0" fontId="63" fillId="11" borderId="0" applyNumberFormat="0" applyBorder="0" applyAlignment="0" applyProtection="0"/>
    <xf numFmtId="0" fontId="64" fillId="12" borderId="0" applyNumberFormat="0" applyBorder="0" applyAlignment="0" applyProtection="0"/>
    <xf numFmtId="0" fontId="64" fillId="9" borderId="0" applyNumberFormat="0" applyBorder="0" applyAlignment="0" applyProtection="0"/>
    <xf numFmtId="0" fontId="64" fillId="10" borderId="0" applyNumberFormat="0" applyBorder="0" applyAlignment="0" applyProtection="0"/>
    <xf numFmtId="0" fontId="64" fillId="13" borderId="0" applyNumberFormat="0" applyBorder="0" applyAlignment="0" applyProtection="0"/>
    <xf numFmtId="0" fontId="64" fillId="14" borderId="0" applyNumberFormat="0" applyBorder="0" applyAlignment="0" applyProtection="0"/>
    <xf numFmtId="0" fontId="64" fillId="15" borderId="0" applyNumberFormat="0" applyBorder="0" applyAlignment="0" applyProtection="0"/>
    <xf numFmtId="0" fontId="65" fillId="16" borderId="1" applyNumberFormat="0" applyAlignment="0" applyProtection="0"/>
    <xf numFmtId="0" fontId="66" fillId="0" borderId="2" applyNumberFormat="0" applyFill="0" applyAlignment="0" applyProtection="0"/>
    <xf numFmtId="0" fontId="67" fillId="17" borderId="3" applyNumberFormat="0" applyAlignment="0" applyProtection="0"/>
    <xf numFmtId="0" fontId="8" fillId="0" borderId="0" applyNumberFormat="0" applyFill="0" applyBorder="0" applyAlignment="0" applyProtection="0">
      <alignment vertical="top"/>
      <protection locked="0"/>
    </xf>
    <xf numFmtId="0" fontId="64" fillId="18" borderId="0" applyNumberFormat="0" applyBorder="0" applyAlignment="0" applyProtection="0"/>
    <xf numFmtId="0" fontId="64" fillId="19" borderId="0" applyNumberFormat="0" applyBorder="0" applyAlignment="0" applyProtection="0"/>
    <xf numFmtId="0" fontId="64" fillId="20" borderId="0" applyNumberFormat="0" applyBorder="0" applyAlignment="0" applyProtection="0"/>
    <xf numFmtId="0" fontId="64" fillId="13" borderId="0" applyNumberFormat="0" applyBorder="0" applyAlignment="0" applyProtection="0"/>
    <xf numFmtId="0" fontId="64" fillId="14" borderId="0" applyNumberFormat="0" applyBorder="0" applyAlignment="0" applyProtection="0"/>
    <xf numFmtId="0" fontId="64" fillId="21" borderId="0" applyNumberFormat="0" applyBorder="0" applyAlignment="0" applyProtection="0"/>
    <xf numFmtId="166" fontId="29" fillId="0" borderId="0" applyFont="0" applyFill="0" applyBorder="0" applyAlignment="0" applyProtection="0"/>
    <xf numFmtId="0" fontId="68" fillId="7" borderId="1" applyNumberFormat="0" applyAlignment="0" applyProtection="0"/>
    <xf numFmtId="0" fontId="102" fillId="0" borderId="0" applyNumberFormat="0" applyBorder="0" applyAlignment="0"/>
    <xf numFmtId="40" fontId="1" fillId="0" borderId="0" applyFont="0" applyFill="0" applyBorder="0" applyAlignment="0" applyProtection="0"/>
    <xf numFmtId="41" fontId="56" fillId="0" borderId="0" applyFont="0" applyFill="0" applyBorder="0" applyAlignment="0" applyProtection="0"/>
    <xf numFmtId="40" fontId="1" fillId="0" borderId="0" applyFont="0" applyFill="0" applyBorder="0" applyAlignment="0" applyProtection="0"/>
    <xf numFmtId="0" fontId="69" fillId="22" borderId="0" applyNumberFormat="0" applyBorder="0" applyAlignment="0" applyProtection="0"/>
    <xf numFmtId="0" fontId="29" fillId="0" borderId="0"/>
    <xf numFmtId="0" fontId="29" fillId="0" borderId="0"/>
    <xf numFmtId="0" fontId="29" fillId="0" borderId="0"/>
    <xf numFmtId="0" fontId="102" fillId="0" borderId="0"/>
    <xf numFmtId="0" fontId="102" fillId="0" borderId="0"/>
    <xf numFmtId="0" fontId="103" fillId="0" borderId="0"/>
    <xf numFmtId="0" fontId="29" fillId="0" borderId="0"/>
    <xf numFmtId="0" fontId="103" fillId="0" borderId="0"/>
    <xf numFmtId="0" fontId="102" fillId="0" borderId="0"/>
    <xf numFmtId="0" fontId="102" fillId="0" borderId="0"/>
    <xf numFmtId="0" fontId="29" fillId="0" borderId="0"/>
    <xf numFmtId="0" fontId="29" fillId="0" borderId="0"/>
    <xf numFmtId="164" fontId="39"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63" fillId="23" borderId="4" applyNumberFormat="0" applyFont="0" applyAlignment="0" applyProtection="0"/>
    <xf numFmtId="0" fontId="70" fillId="16" borderId="5" applyNumberFormat="0" applyAlignment="0" applyProtection="0"/>
    <xf numFmtId="9" fontId="1" fillId="0" borderId="0" applyFont="0" applyFill="0" applyBorder="0" applyAlignment="0" applyProtection="0"/>
    <xf numFmtId="9" fontId="71" fillId="0" borderId="0" applyFont="0" applyFill="0" applyBorder="0" applyAlignment="0" applyProtection="0"/>
    <xf numFmtId="9" fontId="1" fillId="0" borderId="0" applyFon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5" fillId="0" borderId="6" applyNumberFormat="0" applyFill="0" applyAlignment="0" applyProtection="0"/>
    <xf numFmtId="0" fontId="76" fillId="0" borderId="7" applyNumberFormat="0" applyFill="0" applyAlignment="0" applyProtection="0"/>
    <xf numFmtId="0" fontId="77" fillId="0" borderId="8" applyNumberFormat="0" applyFill="0" applyAlignment="0" applyProtection="0"/>
    <xf numFmtId="0" fontId="77" fillId="0" borderId="0" applyNumberFormat="0" applyFill="0" applyBorder="0" applyAlignment="0" applyProtection="0"/>
    <xf numFmtId="0" fontId="78" fillId="0" borderId="9" applyNumberFormat="0" applyFill="0" applyAlignment="0" applyProtection="0"/>
    <xf numFmtId="0" fontId="79" fillId="3" borderId="0" applyNumberFormat="0" applyBorder="0" applyAlignment="0" applyProtection="0"/>
    <xf numFmtId="0" fontId="80" fillId="4" borderId="0" applyNumberFormat="0" applyBorder="0" applyAlignment="0" applyProtection="0"/>
    <xf numFmtId="165" fontId="56" fillId="0" borderId="0" applyFont="0" applyFill="0" applyBorder="0" applyAlignment="0" applyProtection="0"/>
  </cellStyleXfs>
  <cellXfs count="1047">
    <xf numFmtId="0" fontId="0" fillId="0" borderId="0" xfId="0"/>
    <xf numFmtId="0" fontId="2" fillId="0" borderId="0" xfId="0" applyFont="1" applyAlignment="1">
      <alignment horizontal="left" vertical="top"/>
    </xf>
    <xf numFmtId="0" fontId="3" fillId="0" borderId="0" xfId="0" applyFont="1" applyAlignment="1">
      <alignment horizontal="center"/>
    </xf>
    <xf numFmtId="0" fontId="3" fillId="0" borderId="0" xfId="0" applyFont="1"/>
    <xf numFmtId="0" fontId="3" fillId="0" borderId="0" xfId="0" applyFont="1" applyAlignment="1">
      <alignment horizontal="left"/>
    </xf>
    <xf numFmtId="0" fontId="4" fillId="0" borderId="0" xfId="0" applyFont="1"/>
    <xf numFmtId="0" fontId="3" fillId="0" borderId="10" xfId="0" applyFont="1" applyBorder="1" applyAlignment="1">
      <alignment horizontal="centerContinuous"/>
    </xf>
    <xf numFmtId="0" fontId="3" fillId="0" borderId="11" xfId="0" applyFont="1" applyBorder="1" applyAlignment="1">
      <alignment horizontal="center"/>
    </xf>
    <xf numFmtId="0" fontId="3" fillId="0" borderId="12" xfId="0" applyFont="1" applyBorder="1" applyAlignment="1">
      <alignment horizontal="centerContinuous" vertical="center"/>
    </xf>
    <xf numFmtId="0" fontId="3" fillId="0" borderId="13" xfId="0" applyFont="1" applyBorder="1" applyAlignment="1">
      <alignment horizontal="center"/>
    </xf>
    <xf numFmtId="0" fontId="6" fillId="0" borderId="14" xfId="0" applyFont="1" applyBorder="1" applyAlignment="1">
      <alignment horizontal="right" vertical="center"/>
    </xf>
    <xf numFmtId="0" fontId="13" fillId="0" borderId="15" xfId="0" applyFont="1" applyBorder="1" applyAlignment="1">
      <alignment horizontal="centerContinuous" vertical="center"/>
    </xf>
    <xf numFmtId="0" fontId="13" fillId="0" borderId="16" xfId="0" applyFont="1" applyBorder="1" applyAlignment="1">
      <alignment horizontal="centerContinuous" vertical="center"/>
    </xf>
    <xf numFmtId="0" fontId="13" fillId="0" borderId="15" xfId="0" applyFont="1" applyBorder="1" applyAlignment="1">
      <alignment horizontal="centerContinuous" vertical="center" wrapText="1"/>
    </xf>
    <xf numFmtId="0" fontId="3" fillId="0" borderId="17" xfId="0" applyFont="1" applyBorder="1" applyAlignment="1">
      <alignment horizontal="left"/>
    </xf>
    <xf numFmtId="0" fontId="3" fillId="0" borderId="18" xfId="0" applyFont="1" applyBorder="1" applyAlignment="1">
      <alignment horizontal="left"/>
    </xf>
    <xf numFmtId="0" fontId="14" fillId="0" borderId="0" xfId="0" applyFont="1"/>
    <xf numFmtId="0" fontId="10" fillId="0" borderId="19" xfId="0" applyFont="1" applyBorder="1" applyAlignment="1">
      <alignment horizontal="center" vertical="center"/>
    </xf>
    <xf numFmtId="0" fontId="2" fillId="0" borderId="0" xfId="55" applyFont="1" applyAlignment="1">
      <alignment horizontal="left" vertical="top"/>
    </xf>
    <xf numFmtId="0" fontId="3" fillId="0" borderId="0" xfId="55" applyFont="1" applyAlignment="1">
      <alignment horizontal="center"/>
    </xf>
    <xf numFmtId="0" fontId="3" fillId="0" borderId="0" xfId="55" applyFont="1"/>
    <xf numFmtId="0" fontId="10" fillId="0" borderId="19" xfId="55" applyFont="1" applyBorder="1" applyAlignment="1">
      <alignment horizontal="center" vertical="center"/>
    </xf>
    <xf numFmtId="0" fontId="6" fillId="0" borderId="20" xfId="55" applyFont="1" applyBorder="1" applyAlignment="1">
      <alignment horizontal="center" vertical="center"/>
    </xf>
    <xf numFmtId="0" fontId="6" fillId="0" borderId="21" xfId="55" applyFont="1" applyBorder="1" applyAlignment="1">
      <alignment horizontal="right" vertical="center"/>
    </xf>
    <xf numFmtId="0" fontId="15" fillId="0" borderId="0" xfId="54"/>
    <xf numFmtId="0" fontId="16" fillId="0" borderId="22" xfId="54" applyFont="1" applyBorder="1" applyAlignment="1">
      <alignment horizontal="centerContinuous" vertical="center" wrapText="1"/>
    </xf>
    <xf numFmtId="0" fontId="3" fillId="0" borderId="23" xfId="54" applyFont="1" applyBorder="1" applyAlignment="1">
      <alignment horizontal="centerContinuous" vertical="center" wrapText="1"/>
    </xf>
    <xf numFmtId="0" fontId="6" fillId="0" borderId="24" xfId="54" applyFont="1" applyBorder="1" applyAlignment="1">
      <alignment horizontal="center" vertical="center"/>
    </xf>
    <xf numFmtId="0" fontId="6" fillId="0" borderId="25" xfId="54" applyFont="1" applyBorder="1" applyAlignment="1">
      <alignment horizontal="center" vertical="center"/>
    </xf>
    <xf numFmtId="0" fontId="18" fillId="0" borderId="26" xfId="54" applyFont="1" applyBorder="1" applyAlignment="1">
      <alignment horizontal="centerContinuous" vertical="center" wrapText="1"/>
    </xf>
    <xf numFmtId="0" fontId="18" fillId="0" borderId="0" xfId="54" applyFont="1" applyAlignment="1">
      <alignment horizontal="centerContinuous" vertical="center" wrapText="1"/>
    </xf>
    <xf numFmtId="0" fontId="18" fillId="0" borderId="27" xfId="54" applyFont="1" applyBorder="1" applyAlignment="1">
      <alignment horizontal="center" vertical="center" wrapText="1"/>
    </xf>
    <xf numFmtId="0" fontId="18" fillId="0" borderId="27" xfId="54" applyFont="1" applyBorder="1" applyAlignment="1">
      <alignment horizontal="centerContinuous" vertical="center" wrapText="1"/>
    </xf>
    <xf numFmtId="0" fontId="6" fillId="0" borderId="21" xfId="54" applyFont="1" applyBorder="1" applyAlignment="1">
      <alignment horizontal="right" vertical="center"/>
    </xf>
    <xf numFmtId="0" fontId="3" fillId="0" borderId="28" xfId="54" applyFont="1" applyBorder="1" applyAlignment="1">
      <alignment horizontal="center"/>
    </xf>
    <xf numFmtId="0" fontId="3" fillId="0" borderId="0" xfId="53" applyFont="1"/>
    <xf numFmtId="0" fontId="4" fillId="0" borderId="0" xfId="53" applyFont="1"/>
    <xf numFmtId="0" fontId="3" fillId="0" borderId="0" xfId="53" applyFont="1" applyAlignment="1">
      <alignment horizontal="center"/>
    </xf>
    <xf numFmtId="0" fontId="3" fillId="0" borderId="10" xfId="53" applyFont="1" applyBorder="1" applyAlignment="1">
      <alignment horizontal="centerContinuous"/>
    </xf>
    <xf numFmtId="0" fontId="3" fillId="0" borderId="11" xfId="53" applyFont="1" applyBorder="1" applyAlignment="1">
      <alignment horizontal="center"/>
    </xf>
    <xf numFmtId="0" fontId="6" fillId="0" borderId="12" xfId="53" applyFont="1" applyBorder="1" applyAlignment="1">
      <alignment horizontal="centerContinuous" vertical="center"/>
    </xf>
    <xf numFmtId="0" fontId="3" fillId="0" borderId="12" xfId="53" applyFont="1" applyBorder="1" applyAlignment="1">
      <alignment horizontal="centerContinuous" vertical="center"/>
    </xf>
    <xf numFmtId="0" fontId="3" fillId="0" borderId="29" xfId="53" applyFont="1" applyBorder="1" applyAlignment="1">
      <alignment horizontal="centerContinuous" vertical="center"/>
    </xf>
    <xf numFmtId="0" fontId="6" fillId="0" borderId="20" xfId="53" applyFont="1" applyBorder="1" applyAlignment="1">
      <alignment horizontal="center" vertical="center"/>
    </xf>
    <xf numFmtId="0" fontId="3" fillId="0" borderId="24" xfId="53" applyFont="1" applyBorder="1" applyAlignment="1">
      <alignment horizontal="centerContinuous"/>
    </xf>
    <xf numFmtId="0" fontId="3" fillId="0" borderId="30" xfId="53" applyFont="1" applyBorder="1" applyAlignment="1">
      <alignment horizontal="center"/>
    </xf>
    <xf numFmtId="0" fontId="19" fillId="0" borderId="31" xfId="53" applyFont="1" applyBorder="1" applyAlignment="1">
      <alignment horizontal="center"/>
    </xf>
    <xf numFmtId="0" fontId="19" fillId="0" borderId="32" xfId="53" applyFont="1" applyBorder="1" applyAlignment="1">
      <alignment horizontal="center"/>
    </xf>
    <xf numFmtId="0" fontId="19" fillId="0" borderId="33" xfId="53" applyFont="1" applyBorder="1" applyAlignment="1">
      <alignment horizontal="center"/>
    </xf>
    <xf numFmtId="0" fontId="6" fillId="0" borderId="21" xfId="53" applyFont="1" applyBorder="1" applyAlignment="1">
      <alignment horizontal="right" vertical="center"/>
    </xf>
    <xf numFmtId="0" fontId="3" fillId="0" borderId="28" xfId="53" applyFont="1" applyBorder="1" applyAlignment="1">
      <alignment horizontal="center"/>
    </xf>
    <xf numFmtId="0" fontId="3" fillId="0" borderId="0" xfId="52" applyFont="1"/>
    <xf numFmtId="0" fontId="4" fillId="0" borderId="0" xfId="52" applyFont="1"/>
    <xf numFmtId="0" fontId="3" fillId="0" borderId="0" xfId="52" applyFont="1" applyAlignment="1">
      <alignment horizontal="center"/>
    </xf>
    <xf numFmtId="0" fontId="3" fillId="0" borderId="10" xfId="52" applyFont="1" applyBorder="1" applyAlignment="1">
      <alignment horizontal="centerContinuous"/>
    </xf>
    <xf numFmtId="0" fontId="3" fillId="0" borderId="11" xfId="52" applyFont="1" applyBorder="1" applyAlignment="1">
      <alignment horizontal="center"/>
    </xf>
    <xf numFmtId="0" fontId="6" fillId="0" borderId="12" xfId="52" applyFont="1" applyBorder="1" applyAlignment="1">
      <alignment horizontal="centerContinuous" vertical="center"/>
    </xf>
    <xf numFmtId="0" fontId="3" fillId="0" borderId="12" xfId="52" applyFont="1" applyBorder="1" applyAlignment="1">
      <alignment horizontal="centerContinuous" vertical="center"/>
    </xf>
    <xf numFmtId="0" fontId="3" fillId="0" borderId="29" xfId="52" applyFont="1" applyBorder="1" applyAlignment="1">
      <alignment horizontal="centerContinuous" vertical="center"/>
    </xf>
    <xf numFmtId="0" fontId="6" fillId="0" borderId="20" xfId="52" applyFont="1" applyBorder="1" applyAlignment="1">
      <alignment horizontal="center" vertical="center"/>
    </xf>
    <xf numFmtId="0" fontId="6" fillId="0" borderId="34" xfId="52" applyFont="1" applyBorder="1" applyAlignment="1">
      <alignment horizontal="centerContinuous" vertical="center"/>
    </xf>
    <xf numFmtId="0" fontId="3" fillId="0" borderId="24" xfId="52" applyFont="1" applyBorder="1" applyAlignment="1">
      <alignment horizontal="centerContinuous"/>
    </xf>
    <xf numFmtId="0" fontId="3" fillId="0" borderId="30" xfId="52" applyFont="1" applyBorder="1" applyAlignment="1">
      <alignment horizontal="center"/>
    </xf>
    <xf numFmtId="0" fontId="19" fillId="0" borderId="31" xfId="52" applyFont="1" applyBorder="1" applyAlignment="1">
      <alignment horizontal="center"/>
    </xf>
    <xf numFmtId="0" fontId="19" fillId="0" borderId="32" xfId="52" applyFont="1" applyBorder="1" applyAlignment="1">
      <alignment horizontal="center"/>
    </xf>
    <xf numFmtId="0" fontId="19" fillId="0" borderId="33" xfId="52" applyFont="1" applyBorder="1" applyAlignment="1">
      <alignment horizontal="center"/>
    </xf>
    <xf numFmtId="0" fontId="6" fillId="0" borderId="21" xfId="52" applyFont="1" applyBorder="1" applyAlignment="1">
      <alignment horizontal="right" vertical="center"/>
    </xf>
    <xf numFmtId="0" fontId="3" fillId="0" borderId="28" xfId="52" applyFont="1" applyBorder="1" applyAlignment="1">
      <alignment horizontal="center"/>
    </xf>
    <xf numFmtId="0" fontId="2" fillId="0" borderId="0" xfId="51" applyFont="1" applyAlignment="1">
      <alignment horizontal="left" vertical="top"/>
    </xf>
    <xf numFmtId="0" fontId="3" fillId="0" borderId="0" xfId="51" applyFont="1" applyAlignment="1">
      <alignment horizontal="center"/>
    </xf>
    <xf numFmtId="0" fontId="3" fillId="0" borderId="0" xfId="51" applyFont="1"/>
    <xf numFmtId="0" fontId="3" fillId="0" borderId="0" xfId="51" applyFont="1" applyAlignment="1">
      <alignment horizontal="left"/>
    </xf>
    <xf numFmtId="0" fontId="3" fillId="0" borderId="10" xfId="51" applyFont="1" applyBorder="1" applyAlignment="1">
      <alignment horizontal="centerContinuous"/>
    </xf>
    <xf numFmtId="0" fontId="3" fillId="0" borderId="11" xfId="51" applyFont="1" applyBorder="1" applyAlignment="1">
      <alignment horizontal="center"/>
    </xf>
    <xf numFmtId="0" fontId="6" fillId="0" borderId="12" xfId="51" applyFont="1" applyBorder="1" applyAlignment="1">
      <alignment horizontal="centerContinuous" vertical="center"/>
    </xf>
    <xf numFmtId="0" fontId="3" fillId="0" borderId="12" xfId="51" applyFont="1" applyBorder="1" applyAlignment="1">
      <alignment horizontal="centerContinuous" vertical="center"/>
    </xf>
    <xf numFmtId="0" fontId="3" fillId="0" borderId="29" xfId="51" applyFont="1" applyBorder="1" applyAlignment="1">
      <alignment horizontal="centerContinuous" vertical="center"/>
    </xf>
    <xf numFmtId="0" fontId="6" fillId="0" borderId="20" xfId="51" applyFont="1" applyBorder="1" applyAlignment="1">
      <alignment horizontal="center" vertical="center"/>
    </xf>
    <xf numFmtId="0" fontId="3" fillId="0" borderId="24" xfId="51" applyFont="1" applyBorder="1" applyAlignment="1">
      <alignment horizontal="centerContinuous"/>
    </xf>
    <xf numFmtId="0" fontId="3" fillId="0" borderId="30" xfId="51" applyFont="1" applyBorder="1" applyAlignment="1">
      <alignment horizontal="center"/>
    </xf>
    <xf numFmtId="0" fontId="6" fillId="0" borderId="21" xfId="51" applyFont="1" applyBorder="1" applyAlignment="1">
      <alignment horizontal="right" vertical="center"/>
    </xf>
    <xf numFmtId="0" fontId="3" fillId="0" borderId="28" xfId="51" applyFont="1" applyBorder="1" applyAlignment="1">
      <alignment horizontal="center"/>
    </xf>
    <xf numFmtId="0" fontId="3" fillId="0" borderId="0" xfId="50" applyFont="1"/>
    <xf numFmtId="0" fontId="3" fillId="0" borderId="10" xfId="50" applyFont="1" applyBorder="1" applyAlignment="1">
      <alignment horizontal="centerContinuous"/>
    </xf>
    <xf numFmtId="0" fontId="3" fillId="0" borderId="11" xfId="50" applyFont="1" applyBorder="1" applyAlignment="1">
      <alignment horizontal="center"/>
    </xf>
    <xf numFmtId="0" fontId="3" fillId="0" borderId="12" xfId="50" applyFont="1" applyBorder="1" applyAlignment="1">
      <alignment horizontal="centerContinuous" vertical="center"/>
    </xf>
    <xf numFmtId="0" fontId="3" fillId="0" borderId="29" xfId="50" applyFont="1" applyBorder="1" applyAlignment="1">
      <alignment horizontal="centerContinuous" vertical="center"/>
    </xf>
    <xf numFmtId="0" fontId="6" fillId="0" borderId="20" xfId="50" applyFont="1" applyBorder="1" applyAlignment="1">
      <alignment horizontal="center" vertical="center"/>
    </xf>
    <xf numFmtId="0" fontId="3" fillId="0" borderId="24" xfId="50" applyFont="1" applyBorder="1" applyAlignment="1">
      <alignment horizontal="centerContinuous"/>
    </xf>
    <xf numFmtId="0" fontId="3" fillId="0" borderId="30" xfId="50" applyFont="1" applyBorder="1" applyAlignment="1">
      <alignment horizontal="center"/>
    </xf>
    <xf numFmtId="0" fontId="6" fillId="0" borderId="21" xfId="50" applyFont="1" applyBorder="1" applyAlignment="1">
      <alignment horizontal="right" vertical="center"/>
    </xf>
    <xf numFmtId="0" fontId="3" fillId="0" borderId="28" xfId="50" applyFont="1" applyBorder="1" applyAlignment="1">
      <alignment horizontal="center"/>
    </xf>
    <xf numFmtId="0" fontId="3" fillId="0" borderId="0" xfId="50" applyFont="1" applyAlignment="1">
      <alignment horizontal="center"/>
    </xf>
    <xf numFmtId="0" fontId="3" fillId="0" borderId="35" xfId="0" applyFont="1" applyBorder="1" applyAlignment="1">
      <alignment horizontal="centerContinuous" vertical="center"/>
    </xf>
    <xf numFmtId="0" fontId="23" fillId="0" borderId="0" xfId="0" applyFont="1"/>
    <xf numFmtId="0" fontId="3" fillId="0" borderId="36" xfId="0" applyFont="1" applyBorder="1" applyAlignment="1">
      <alignment horizontal="center"/>
    </xf>
    <xf numFmtId="0" fontId="3" fillId="0" borderId="0" xfId="0" applyFont="1" applyAlignment="1">
      <alignment vertical="center"/>
    </xf>
    <xf numFmtId="0" fontId="3" fillId="0" borderId="37" xfId="0" applyFont="1" applyBorder="1" applyAlignment="1">
      <alignment horizontal="centerContinuous" vertical="center"/>
    </xf>
    <xf numFmtId="0" fontId="0" fillId="0" borderId="0" xfId="0" applyAlignment="1">
      <alignment horizontal="center"/>
    </xf>
    <xf numFmtId="0" fontId="5" fillId="0" borderId="0" xfId="0" applyFont="1"/>
    <xf numFmtId="0" fontId="6" fillId="0" borderId="38" xfId="0" applyFont="1" applyBorder="1" applyAlignment="1">
      <alignment horizontal="center" vertical="center"/>
    </xf>
    <xf numFmtId="0" fontId="14" fillId="0" borderId="39" xfId="0" applyFont="1" applyBorder="1" applyAlignment="1">
      <alignment horizontal="justify"/>
    </xf>
    <xf numFmtId="0" fontId="28" fillId="0" borderId="0" xfId="0" applyFont="1"/>
    <xf numFmtId="0" fontId="14" fillId="0" borderId="40" xfId="0" applyFont="1" applyBorder="1" applyAlignment="1">
      <alignment horizontal="justify"/>
    </xf>
    <xf numFmtId="0" fontId="14" fillId="0" borderId="39" xfId="0" applyFont="1" applyBorder="1" applyAlignment="1">
      <alignment horizontal="left"/>
    </xf>
    <xf numFmtId="0" fontId="14" fillId="0" borderId="39" xfId="0" applyFont="1" applyBorder="1" applyAlignment="1">
      <alignment horizontal="justify" wrapText="1"/>
    </xf>
    <xf numFmtId="0" fontId="14" fillId="0" borderId="39" xfId="0" applyFont="1" applyBorder="1" applyAlignment="1">
      <alignment wrapText="1"/>
    </xf>
    <xf numFmtId="0" fontId="6" fillId="0" borderId="41" xfId="0" applyFont="1" applyBorder="1" applyAlignment="1">
      <alignment horizontal="centerContinuous" vertical="center" wrapText="1"/>
    </xf>
    <xf numFmtId="0" fontId="6" fillId="0" borderId="30" xfId="0" applyFont="1" applyBorder="1" applyAlignment="1">
      <alignment horizontal="center" vertical="center"/>
    </xf>
    <xf numFmtId="0" fontId="3" fillId="0" borderId="33" xfId="0" applyFont="1" applyBorder="1" applyAlignment="1">
      <alignment horizontal="centerContinuous" vertical="center"/>
    </xf>
    <xf numFmtId="0" fontId="6" fillId="0" borderId="21" xfId="0" applyFont="1" applyBorder="1" applyAlignment="1">
      <alignment horizontal="right" vertical="center"/>
    </xf>
    <xf numFmtId="0" fontId="3" fillId="0" borderId="28" xfId="0" applyFont="1" applyBorder="1" applyAlignment="1">
      <alignment horizontal="center"/>
    </xf>
    <xf numFmtId="0" fontId="3" fillId="0" borderId="29" xfId="0" applyFont="1" applyBorder="1" applyAlignment="1">
      <alignment horizontal="centerContinuous" vertical="center"/>
    </xf>
    <xf numFmtId="0" fontId="6" fillId="0" borderId="20" xfId="0" applyFont="1" applyBorder="1" applyAlignment="1">
      <alignment horizontal="center" vertical="center"/>
    </xf>
    <xf numFmtId="0" fontId="14" fillId="0" borderId="34" xfId="0" applyFont="1" applyBorder="1" applyAlignment="1">
      <alignment horizontal="centerContinuous" vertical="center" wrapText="1"/>
    </xf>
    <xf numFmtId="0" fontId="6" fillId="0" borderId="12" xfId="0" applyFont="1" applyBorder="1" applyAlignment="1">
      <alignment horizontal="centerContinuous" vertical="center"/>
    </xf>
    <xf numFmtId="0" fontId="6" fillId="0" borderId="42" xfId="0" applyFont="1" applyBorder="1" applyAlignment="1">
      <alignment horizontal="centerContinuous" vertical="center" wrapText="1"/>
    </xf>
    <xf numFmtId="0" fontId="6" fillId="0" borderId="43" xfId="0" applyFont="1" applyBorder="1" applyAlignment="1">
      <alignment horizontal="centerContinuous" vertical="center" wrapText="1"/>
    </xf>
    <xf numFmtId="0" fontId="6" fillId="0" borderId="34" xfId="0" applyFont="1" applyBorder="1" applyAlignment="1">
      <alignment horizontal="centerContinuous" vertical="center" wrapText="1"/>
    </xf>
    <xf numFmtId="0" fontId="6" fillId="0" borderId="44" xfId="0" applyFont="1" applyBorder="1" applyAlignment="1">
      <alignment horizontal="centerContinuous" vertical="center" wrapText="1"/>
    </xf>
    <xf numFmtId="0" fontId="6" fillId="0" borderId="45" xfId="0" applyFont="1" applyBorder="1" applyAlignment="1">
      <alignment horizontal="centerContinuous" vertical="center" wrapText="1"/>
    </xf>
    <xf numFmtId="0" fontId="3" fillId="0" borderId="36" xfId="0" applyFont="1" applyBorder="1" applyAlignment="1">
      <alignment horizontal="left"/>
    </xf>
    <xf numFmtId="0" fontId="6" fillId="0" borderId="44" xfId="52" applyFont="1" applyBorder="1" applyAlignment="1">
      <alignment horizontal="centerContinuous" vertical="center"/>
    </xf>
    <xf numFmtId="0" fontId="10" fillId="0" borderId="46" xfId="0" applyFont="1" applyBorder="1" applyAlignment="1">
      <alignment horizontal="center" vertical="center"/>
    </xf>
    <xf numFmtId="0" fontId="14" fillId="0" borderId="40" xfId="0" applyFont="1" applyBorder="1" applyAlignment="1">
      <alignment horizontal="justify" wrapText="1"/>
    </xf>
    <xf numFmtId="0" fontId="13" fillId="24" borderId="47" xfId="50" applyFont="1" applyFill="1" applyBorder="1" applyAlignment="1">
      <alignment horizontal="centerContinuous" vertical="center"/>
    </xf>
    <xf numFmtId="0" fontId="3" fillId="24" borderId="12" xfId="50" applyFont="1" applyFill="1" applyBorder="1" applyAlignment="1">
      <alignment horizontal="centerContinuous" vertical="center"/>
    </xf>
    <xf numFmtId="0" fontId="3" fillId="24" borderId="29" xfId="50" applyFont="1" applyFill="1" applyBorder="1" applyAlignment="1">
      <alignment horizontal="centerContinuous" vertical="center"/>
    </xf>
    <xf numFmtId="0" fontId="20" fillId="24" borderId="48" xfId="50" applyFont="1" applyFill="1" applyBorder="1" applyAlignment="1">
      <alignment horizontal="centerContinuous" vertical="center" wrapText="1"/>
    </xf>
    <xf numFmtId="0" fontId="20" fillId="24" borderId="44" xfId="50" applyFont="1" applyFill="1" applyBorder="1" applyAlignment="1">
      <alignment horizontal="centerContinuous" vertical="center"/>
    </xf>
    <xf numFmtId="0" fontId="20" fillId="24" borderId="44" xfId="51" applyFont="1" applyFill="1" applyBorder="1" applyAlignment="1">
      <alignment horizontal="centerContinuous" vertical="center"/>
    </xf>
    <xf numFmtId="0" fontId="20" fillId="24" borderId="34" xfId="51" applyFont="1" applyFill="1" applyBorder="1" applyAlignment="1">
      <alignment horizontal="centerContinuous" vertical="center"/>
    </xf>
    <xf numFmtId="0" fontId="19" fillId="24" borderId="24" xfId="50" applyFont="1" applyFill="1" applyBorder="1" applyAlignment="1">
      <alignment horizontal="center"/>
    </xf>
    <xf numFmtId="0" fontId="19" fillId="24" borderId="33" xfId="50" applyFont="1" applyFill="1" applyBorder="1" applyAlignment="1">
      <alignment horizontal="center"/>
    </xf>
    <xf numFmtId="0" fontId="19" fillId="24" borderId="31" xfId="50" applyFont="1" applyFill="1" applyBorder="1" applyAlignment="1">
      <alignment horizontal="center"/>
    </xf>
    <xf numFmtId="0" fontId="19" fillId="24" borderId="24" xfId="51" applyFont="1" applyFill="1" applyBorder="1" applyAlignment="1">
      <alignment horizontal="center"/>
    </xf>
    <xf numFmtId="0" fontId="19" fillId="24" borderId="33" xfId="51" applyFont="1" applyFill="1" applyBorder="1" applyAlignment="1">
      <alignment horizontal="center"/>
    </xf>
    <xf numFmtId="0" fontId="19" fillId="24" borderId="31" xfId="51" applyFont="1" applyFill="1" applyBorder="1" applyAlignment="1">
      <alignment horizontal="center"/>
    </xf>
    <xf numFmtId="0" fontId="3" fillId="0" borderId="49" xfId="0" applyFont="1" applyBorder="1" applyAlignment="1">
      <alignment horizontal="center"/>
    </xf>
    <xf numFmtId="0" fontId="3" fillId="0" borderId="50" xfId="0" applyFont="1" applyBorder="1" applyAlignment="1">
      <alignment horizontal="left"/>
    </xf>
    <xf numFmtId="0" fontId="6" fillId="0" borderId="51" xfId="0" applyFont="1" applyBorder="1" applyAlignment="1">
      <alignment horizontal="right" vertical="center"/>
    </xf>
    <xf numFmtId="0" fontId="6" fillId="0" borderId="0" xfId="53" applyFont="1" applyAlignment="1">
      <alignment horizontal="right" vertical="center"/>
    </xf>
    <xf numFmtId="0" fontId="3" fillId="24" borderId="0" xfId="53" applyFont="1" applyFill="1"/>
    <xf numFmtId="0" fontId="23" fillId="0" borderId="52" xfId="0" applyFont="1" applyBorder="1" applyAlignment="1">
      <alignment horizontal="center"/>
    </xf>
    <xf numFmtId="0" fontId="23" fillId="0" borderId="36" xfId="0" applyFont="1" applyBorder="1" applyAlignment="1">
      <alignment horizontal="center"/>
    </xf>
    <xf numFmtId="0" fontId="23" fillId="0" borderId="53" xfId="0" applyFont="1" applyBorder="1" applyAlignment="1">
      <alignment horizontal="center"/>
    </xf>
    <xf numFmtId="0" fontId="3" fillId="0" borderId="0" xfId="0" applyFont="1" applyAlignment="1">
      <alignment textRotation="255"/>
    </xf>
    <xf numFmtId="0" fontId="13" fillId="0" borderId="54" xfId="0" applyFont="1" applyBorder="1" applyAlignment="1">
      <alignment horizontal="right"/>
    </xf>
    <xf numFmtId="0" fontId="6" fillId="0" borderId="55" xfId="53" applyFont="1" applyBorder="1" applyAlignment="1">
      <alignment horizontal="center" vertical="center"/>
    </xf>
    <xf numFmtId="0" fontId="6" fillId="0" borderId="55" xfId="53" applyFont="1" applyBorder="1" applyAlignment="1">
      <alignment vertical="center"/>
    </xf>
    <xf numFmtId="0" fontId="33" fillId="0" borderId="28" xfId="50" applyFont="1" applyBorder="1" applyAlignment="1">
      <alignment horizontal="center"/>
    </xf>
    <xf numFmtId="0" fontId="33" fillId="0" borderId="0" xfId="0" applyFont="1" applyAlignment="1">
      <alignment horizontal="center"/>
    </xf>
    <xf numFmtId="0" fontId="33" fillId="0" borderId="0" xfId="50" applyFont="1" applyAlignment="1">
      <alignment horizontal="center"/>
    </xf>
    <xf numFmtId="0" fontId="23" fillId="0" borderId="56" xfId="0" applyFont="1" applyBorder="1" applyAlignment="1">
      <alignment horizontal="center"/>
    </xf>
    <xf numFmtId="0" fontId="23" fillId="0" borderId="57" xfId="0" applyFont="1" applyBorder="1" applyAlignment="1">
      <alignment horizontal="center"/>
    </xf>
    <xf numFmtId="0" fontId="23" fillId="0" borderId="58" xfId="0" applyFont="1" applyBorder="1" applyAlignment="1">
      <alignment horizontal="center"/>
    </xf>
    <xf numFmtId="0" fontId="14" fillId="0" borderId="40" xfId="0" applyFont="1" applyBorder="1" applyAlignment="1">
      <alignment wrapText="1"/>
    </xf>
    <xf numFmtId="0" fontId="14" fillId="0" borderId="50" xfId="0" applyFont="1" applyBorder="1" applyAlignment="1">
      <alignment horizontal="justify" wrapText="1"/>
    </xf>
    <xf numFmtId="0" fontId="3" fillId="0" borderId="59" xfId="0" applyFont="1" applyBorder="1" applyAlignment="1">
      <alignment horizontal="center"/>
    </xf>
    <xf numFmtId="0" fontId="13" fillId="0" borderId="36" xfId="0" applyFont="1" applyBorder="1" applyAlignment="1">
      <alignment horizontal="center"/>
    </xf>
    <xf numFmtId="0" fontId="13" fillId="0" borderId="36" xfId="0" applyFont="1" applyBorder="1" applyAlignment="1">
      <alignment horizontal="center" wrapText="1"/>
    </xf>
    <xf numFmtId="0" fontId="3" fillId="0" borderId="36" xfId="0" applyFont="1" applyBorder="1"/>
    <xf numFmtId="0" fontId="10" fillId="0" borderId="36" xfId="0" applyFont="1" applyBorder="1" applyAlignment="1">
      <alignment horizontal="center" vertical="center"/>
    </xf>
    <xf numFmtId="0" fontId="13" fillId="0" borderId="36" xfId="0" applyFont="1" applyBorder="1" applyAlignment="1">
      <alignment horizontal="center" vertical="center"/>
    </xf>
    <xf numFmtId="0" fontId="13" fillId="0" borderId="36" xfId="0" applyFont="1" applyBorder="1" applyAlignment="1">
      <alignment horizontal="center" vertical="center" wrapText="1"/>
    </xf>
    <xf numFmtId="0" fontId="10" fillId="0" borderId="52" xfId="0" applyFont="1" applyBorder="1" applyAlignment="1">
      <alignment horizontal="center" wrapText="1"/>
    </xf>
    <xf numFmtId="0" fontId="11" fillId="0" borderId="36" xfId="0" applyFont="1" applyBorder="1" applyAlignment="1">
      <alignment horizontal="center"/>
    </xf>
    <xf numFmtId="0" fontId="13" fillId="0" borderId="52" xfId="0" applyFont="1" applyBorder="1" applyAlignment="1">
      <alignment horizontal="center" vertical="center" wrapText="1"/>
    </xf>
    <xf numFmtId="0" fontId="21" fillId="0" borderId="36" xfId="0" applyFont="1" applyBorder="1" applyAlignment="1">
      <alignment horizontal="center" wrapText="1"/>
    </xf>
    <xf numFmtId="0" fontId="10" fillId="0" borderId="36" xfId="0" applyFont="1" applyBorder="1" applyAlignment="1">
      <alignment horizontal="center"/>
    </xf>
    <xf numFmtId="0" fontId="10" fillId="0" borderId="36" xfId="0" applyFont="1" applyBorder="1" applyAlignment="1">
      <alignment horizontal="center" wrapText="1"/>
    </xf>
    <xf numFmtId="0" fontId="3" fillId="0" borderId="60" xfId="0" applyFont="1" applyBorder="1" applyAlignment="1">
      <alignment horizontal="center"/>
    </xf>
    <xf numFmtId="0" fontId="11" fillId="0" borderId="36" xfId="0" applyFont="1" applyBorder="1"/>
    <xf numFmtId="0" fontId="11" fillId="0" borderId="0" xfId="0" applyFont="1"/>
    <xf numFmtId="0" fontId="10" fillId="0" borderId="36" xfId="0" applyFont="1" applyBorder="1" applyAlignment="1">
      <alignment horizontal="center" vertical="center" wrapText="1"/>
    </xf>
    <xf numFmtId="0" fontId="3" fillId="0" borderId="0" xfId="0" applyFont="1" applyAlignment="1">
      <alignment horizontal="center" vertical="center" wrapText="1"/>
    </xf>
    <xf numFmtId="0" fontId="22" fillId="0" borderId="0" xfId="0" applyFont="1"/>
    <xf numFmtId="0" fontId="11" fillId="0" borderId="0" xfId="0" applyFont="1" applyAlignment="1">
      <alignment horizontal="center" vertical="center" wrapText="1"/>
    </xf>
    <xf numFmtId="0" fontId="35" fillId="0" borderId="0" xfId="0" applyFont="1" applyAlignment="1">
      <alignment horizontal="center"/>
    </xf>
    <xf numFmtId="0" fontId="35" fillId="0" borderId="0" xfId="0" applyFont="1"/>
    <xf numFmtId="0" fontId="14" fillId="0" borderId="50" xfId="0" applyFont="1" applyBorder="1" applyAlignment="1">
      <alignment horizontal="left"/>
    </xf>
    <xf numFmtId="0" fontId="14" fillId="0" borderId="61" xfId="0" applyFont="1" applyBorder="1" applyAlignment="1">
      <alignment horizontal="left"/>
    </xf>
    <xf numFmtId="3" fontId="13" fillId="0" borderId="62" xfId="0" applyNumberFormat="1" applyFont="1" applyBorder="1" applyAlignment="1">
      <alignment horizontal="center"/>
    </xf>
    <xf numFmtId="3" fontId="13" fillId="0" borderId="63" xfId="0" applyNumberFormat="1" applyFont="1" applyBorder="1" applyAlignment="1">
      <alignment horizontal="center"/>
    </xf>
    <xf numFmtId="3" fontId="3" fillId="24" borderId="36" xfId="0" applyNumberFormat="1" applyFont="1" applyFill="1" applyBorder="1" applyAlignment="1">
      <alignment horizontal="center"/>
    </xf>
    <xf numFmtId="3" fontId="3" fillId="24" borderId="53" xfId="0" applyNumberFormat="1" applyFont="1" applyFill="1" applyBorder="1" applyAlignment="1">
      <alignment horizontal="center"/>
    </xf>
    <xf numFmtId="0" fontId="13" fillId="0" borderId="59" xfId="0" applyFont="1" applyBorder="1" applyAlignment="1">
      <alignment horizontal="center"/>
    </xf>
    <xf numFmtId="0" fontId="13" fillId="0" borderId="64" xfId="0" applyFont="1" applyBorder="1" applyAlignment="1">
      <alignment horizontal="center"/>
    </xf>
    <xf numFmtId="0" fontId="13" fillId="0" borderId="65" xfId="0" applyFont="1" applyBorder="1" applyAlignment="1">
      <alignment horizontal="center"/>
    </xf>
    <xf numFmtId="3" fontId="3" fillId="0" borderId="66" xfId="0" applyNumberFormat="1" applyFont="1" applyBorder="1" applyProtection="1">
      <protection locked="0"/>
    </xf>
    <xf numFmtId="3" fontId="3" fillId="0" borderId="67" xfId="0" applyNumberFormat="1" applyFont="1" applyBorder="1" applyProtection="1">
      <protection locked="0"/>
    </xf>
    <xf numFmtId="4" fontId="3" fillId="0" borderId="66" xfId="0" applyNumberFormat="1" applyFont="1" applyBorder="1" applyProtection="1">
      <protection locked="0"/>
    </xf>
    <xf numFmtId="3" fontId="3" fillId="0" borderId="68" xfId="0" applyNumberFormat="1" applyFont="1" applyBorder="1" applyProtection="1">
      <protection locked="0"/>
    </xf>
    <xf numFmtId="3" fontId="15" fillId="0" borderId="69" xfId="0" applyNumberFormat="1" applyFont="1" applyBorder="1" applyProtection="1">
      <protection locked="0"/>
    </xf>
    <xf numFmtId="3" fontId="15" fillId="0" borderId="70" xfId="0" applyNumberFormat="1" applyFont="1" applyBorder="1" applyProtection="1">
      <protection locked="0"/>
    </xf>
    <xf numFmtId="3" fontId="15" fillId="0" borderId="71" xfId="0" applyNumberFormat="1" applyFont="1" applyBorder="1" applyProtection="1">
      <protection locked="0"/>
    </xf>
    <xf numFmtId="3" fontId="15" fillId="0" borderId="72" xfId="0" applyNumberFormat="1" applyFont="1" applyBorder="1" applyProtection="1">
      <protection locked="0"/>
    </xf>
    <xf numFmtId="0" fontId="14" fillId="0" borderId="17" xfId="0" applyFont="1" applyBorder="1" applyAlignment="1">
      <alignment horizontal="justify"/>
    </xf>
    <xf numFmtId="0" fontId="13" fillId="0" borderId="73" xfId="0" applyFont="1" applyBorder="1" applyAlignment="1">
      <alignment horizontal="center" vertical="center" wrapText="1"/>
    </xf>
    <xf numFmtId="0" fontId="13" fillId="0" borderId="74" xfId="0" applyFont="1" applyBorder="1" applyAlignment="1">
      <alignment horizontal="center" vertical="center" wrapText="1"/>
    </xf>
    <xf numFmtId="0" fontId="13" fillId="0" borderId="75" xfId="0" applyFont="1" applyBorder="1" applyAlignment="1">
      <alignment horizontal="center" vertical="center" wrapText="1"/>
    </xf>
    <xf numFmtId="0" fontId="13" fillId="0" borderId="76" xfId="0" applyFont="1" applyBorder="1" applyAlignment="1">
      <alignment horizontal="right"/>
    </xf>
    <xf numFmtId="0" fontId="3" fillId="0" borderId="13" xfId="0" applyFont="1" applyBorder="1" applyAlignment="1">
      <alignment horizontal="center" vertical="center"/>
    </xf>
    <xf numFmtId="0" fontId="3" fillId="0" borderId="77" xfId="0" applyFont="1" applyBorder="1" applyAlignment="1">
      <alignment horizontal="center"/>
    </xf>
    <xf numFmtId="3" fontId="3" fillId="0" borderId="17" xfId="50" applyNumberFormat="1" applyFont="1" applyBorder="1" applyProtection="1">
      <protection locked="0"/>
    </xf>
    <xf numFmtId="3" fontId="3" fillId="0" borderId="78" xfId="50" applyNumberFormat="1" applyFont="1" applyBorder="1" applyProtection="1">
      <protection locked="0"/>
    </xf>
    <xf numFmtId="3" fontId="3" fillId="0" borderId="66" xfId="50" applyNumberFormat="1" applyFont="1" applyBorder="1" applyProtection="1">
      <protection locked="0"/>
    </xf>
    <xf numFmtId="3" fontId="3" fillId="0" borderId="17" xfId="51" applyNumberFormat="1" applyFont="1" applyBorder="1" applyProtection="1">
      <protection locked="0"/>
    </xf>
    <xf numFmtId="3" fontId="3" fillId="0" borderId="78" xfId="51" applyNumberFormat="1" applyFont="1" applyBorder="1" applyProtection="1">
      <protection locked="0"/>
    </xf>
    <xf numFmtId="3" fontId="3" fillId="0" borderId="66" xfId="51" applyNumberFormat="1" applyFont="1" applyBorder="1" applyProtection="1">
      <protection locked="0"/>
    </xf>
    <xf numFmtId="0" fontId="3" fillId="0" borderId="79" xfId="0" applyFont="1" applyBorder="1" applyAlignment="1">
      <alignment horizontal="center"/>
    </xf>
    <xf numFmtId="3" fontId="3" fillId="0" borderId="49" xfId="50" applyNumberFormat="1" applyFont="1" applyBorder="1" applyProtection="1">
      <protection locked="0"/>
    </xf>
    <xf numFmtId="3" fontId="3" fillId="0" borderId="80" xfId="50" applyNumberFormat="1" applyFont="1" applyBorder="1" applyProtection="1">
      <protection locked="0"/>
    </xf>
    <xf numFmtId="3" fontId="3" fillId="0" borderId="81" xfId="50" applyNumberFormat="1" applyFont="1" applyBorder="1" applyProtection="1">
      <protection locked="0"/>
    </xf>
    <xf numFmtId="3" fontId="3" fillId="0" borderId="66" xfId="52" applyNumberFormat="1" applyFont="1" applyBorder="1" applyProtection="1">
      <protection locked="0"/>
    </xf>
    <xf numFmtId="3" fontId="3" fillId="0" borderId="49" xfId="52" applyNumberFormat="1" applyFont="1" applyBorder="1" applyProtection="1">
      <protection locked="0"/>
    </xf>
    <xf numFmtId="3" fontId="3" fillId="0" borderId="78" xfId="52" applyNumberFormat="1" applyFont="1" applyBorder="1" applyProtection="1">
      <protection locked="0"/>
    </xf>
    <xf numFmtId="3" fontId="3" fillId="0" borderId="59" xfId="52" applyNumberFormat="1" applyFont="1" applyBorder="1" applyProtection="1">
      <protection locked="0"/>
    </xf>
    <xf numFmtId="3" fontId="3" fillId="0" borderId="80" xfId="52" applyNumberFormat="1" applyFont="1" applyBorder="1" applyProtection="1">
      <protection locked="0"/>
    </xf>
    <xf numFmtId="3" fontId="3" fillId="0" borderId="16" xfId="52" applyNumberFormat="1" applyFont="1" applyBorder="1" applyProtection="1">
      <protection locked="0"/>
    </xf>
    <xf numFmtId="3" fontId="3" fillId="0" borderId="82" xfId="52" applyNumberFormat="1" applyFont="1" applyBorder="1" applyProtection="1">
      <protection locked="0"/>
    </xf>
    <xf numFmtId="0" fontId="19" fillId="0" borderId="31" xfId="0" applyFont="1" applyBorder="1" applyAlignment="1">
      <alignment horizontal="center"/>
    </xf>
    <xf numFmtId="0" fontId="19" fillId="0" borderId="32" xfId="0" applyFont="1" applyBorder="1" applyAlignment="1">
      <alignment horizontal="center"/>
    </xf>
    <xf numFmtId="0" fontId="24" fillId="0" borderId="83" xfId="0" applyFont="1" applyBorder="1" applyAlignment="1">
      <alignment horizontal="center" textRotation="255" wrapText="1"/>
    </xf>
    <xf numFmtId="0" fontId="24" fillId="0" borderId="84" xfId="0" applyFont="1" applyBorder="1" applyAlignment="1">
      <alignment horizontal="center" textRotation="255" wrapText="1"/>
    </xf>
    <xf numFmtId="3" fontId="3" fillId="0" borderId="80" xfId="0" applyNumberFormat="1" applyFont="1" applyBorder="1" applyProtection="1">
      <protection locked="0"/>
    </xf>
    <xf numFmtId="3" fontId="3" fillId="0" borderId="49" xfId="0" applyNumberFormat="1" applyFont="1" applyBorder="1" applyProtection="1">
      <protection locked="0"/>
    </xf>
    <xf numFmtId="3" fontId="3" fillId="0" borderId="66" xfId="53" applyNumberFormat="1" applyFont="1" applyBorder="1" applyProtection="1">
      <protection locked="0"/>
    </xf>
    <xf numFmtId="3" fontId="3" fillId="0" borderId="49" xfId="53" applyNumberFormat="1" applyFont="1" applyBorder="1" applyProtection="1">
      <protection locked="0"/>
    </xf>
    <xf numFmtId="3" fontId="3" fillId="0" borderId="78" xfId="53" applyNumberFormat="1" applyFont="1" applyBorder="1" applyProtection="1">
      <protection locked="0"/>
    </xf>
    <xf numFmtId="3" fontId="3" fillId="0" borderId="59" xfId="53" applyNumberFormat="1" applyFont="1" applyBorder="1" applyProtection="1">
      <protection locked="0"/>
    </xf>
    <xf numFmtId="3" fontId="3" fillId="0" borderId="80" xfId="53" applyNumberFormat="1" applyFont="1" applyBorder="1" applyProtection="1">
      <protection locked="0"/>
    </xf>
    <xf numFmtId="3" fontId="3" fillId="0" borderId="79" xfId="53" applyNumberFormat="1" applyFont="1" applyBorder="1" applyProtection="1">
      <protection locked="0"/>
    </xf>
    <xf numFmtId="0" fontId="13" fillId="0" borderId="11" xfId="54" applyFont="1" applyBorder="1" applyAlignment="1">
      <alignment horizontal="center"/>
    </xf>
    <xf numFmtId="0" fontId="6" fillId="0" borderId="85" xfId="0" applyFont="1" applyBorder="1" applyAlignment="1">
      <alignment horizontal="centerContinuous" vertical="center"/>
    </xf>
    <xf numFmtId="0" fontId="6" fillId="0" borderId="27" xfId="0" applyFont="1" applyBorder="1" applyAlignment="1">
      <alignment horizontal="centerContinuous" vertical="center" wrapText="1"/>
    </xf>
    <xf numFmtId="0" fontId="37" fillId="0" borderId="24" xfId="0" applyFont="1" applyBorder="1" applyAlignment="1">
      <alignment horizontal="centerContinuous"/>
    </xf>
    <xf numFmtId="0" fontId="37" fillId="0" borderId="32" xfId="0" applyFont="1" applyBorder="1"/>
    <xf numFmtId="0" fontId="37" fillId="0" borderId="31" xfId="0" applyFont="1" applyBorder="1" applyAlignment="1">
      <alignment horizontal="center"/>
    </xf>
    <xf numFmtId="0" fontId="37" fillId="0" borderId="32" xfId="0" applyFont="1" applyBorder="1" applyAlignment="1">
      <alignment horizontal="center"/>
    </xf>
    <xf numFmtId="0" fontId="37" fillId="0" borderId="33" xfId="0" applyFont="1" applyBorder="1" applyAlignment="1">
      <alignment horizontal="center"/>
    </xf>
    <xf numFmtId="0" fontId="37" fillId="0" borderId="86" xfId="0" applyFont="1" applyBorder="1" applyAlignment="1">
      <alignment horizontal="center"/>
    </xf>
    <xf numFmtId="0" fontId="37" fillId="0" borderId="0" xfId="0" applyFont="1"/>
    <xf numFmtId="0" fontId="3" fillId="0" borderId="35" xfId="0" applyFont="1" applyBorder="1"/>
    <xf numFmtId="0" fontId="3" fillId="0" borderId="37" xfId="0" applyFont="1" applyBorder="1"/>
    <xf numFmtId="3" fontId="3" fillId="0" borderId="87" xfId="55" applyNumberFormat="1" applyFont="1" applyBorder="1" applyProtection="1">
      <protection locked="0"/>
    </xf>
    <xf numFmtId="3" fontId="3" fillId="0" borderId="79" xfId="55" applyNumberFormat="1" applyFont="1" applyBorder="1" applyProtection="1">
      <protection locked="0"/>
    </xf>
    <xf numFmtId="3" fontId="3" fillId="0" borderId="81" xfId="55" applyNumberFormat="1" applyFont="1" applyBorder="1" applyProtection="1">
      <protection locked="0"/>
    </xf>
    <xf numFmtId="3" fontId="3" fillId="0" borderId="77" xfId="55" applyNumberFormat="1" applyFont="1" applyBorder="1" applyProtection="1">
      <protection locked="0"/>
    </xf>
    <xf numFmtId="0" fontId="18" fillId="0" borderId="88" xfId="55" applyFont="1" applyBorder="1" applyAlignment="1">
      <alignment horizontal="centerContinuous" vertical="center"/>
    </xf>
    <xf numFmtId="0" fontId="10" fillId="0" borderId="10" xfId="54" applyFont="1" applyBorder="1" applyAlignment="1">
      <alignment horizontal="centerContinuous"/>
    </xf>
    <xf numFmtId="0" fontId="10" fillId="0" borderId="89" xfId="53" applyFont="1" applyBorder="1" applyAlignment="1">
      <alignment horizontal="center" vertical="center"/>
    </xf>
    <xf numFmtId="0" fontId="10" fillId="0" borderId="89" xfId="52" applyFont="1" applyBorder="1" applyAlignment="1">
      <alignment horizontal="center" vertical="center"/>
    </xf>
    <xf numFmtId="0" fontId="10" fillId="0" borderId="89" xfId="51" applyFont="1" applyBorder="1" applyAlignment="1">
      <alignment horizontal="center" vertical="center"/>
    </xf>
    <xf numFmtId="0" fontId="10" fillId="0" borderId="89" xfId="50" applyFont="1" applyBorder="1" applyAlignment="1">
      <alignment horizontal="center" vertical="center"/>
    </xf>
    <xf numFmtId="0" fontId="10" fillId="0" borderId="20" xfId="50" applyFont="1" applyBorder="1" applyAlignment="1">
      <alignment horizontal="center" vertical="center"/>
    </xf>
    <xf numFmtId="0" fontId="11" fillId="0" borderId="30" xfId="50" applyFont="1" applyBorder="1" applyAlignment="1">
      <alignment horizontal="center"/>
    </xf>
    <xf numFmtId="0" fontId="11" fillId="0" borderId="90" xfId="0" applyFont="1" applyBorder="1" applyAlignment="1">
      <alignment horizontal="center"/>
    </xf>
    <xf numFmtId="0" fontId="11" fillId="0" borderId="91" xfId="0" applyFont="1" applyBorder="1" applyAlignment="1">
      <alignment horizontal="center"/>
    </xf>
    <xf numFmtId="0" fontId="37" fillId="0" borderId="24" xfId="55" applyFont="1" applyBorder="1" applyAlignment="1">
      <alignment horizontal="centerContinuous"/>
    </xf>
    <xf numFmtId="0" fontId="37" fillId="0" borderId="92" xfId="55" applyFont="1" applyBorder="1" applyAlignment="1">
      <alignment horizontal="center"/>
    </xf>
    <xf numFmtId="0" fontId="37" fillId="0" borderId="25" xfId="55" applyFont="1" applyBorder="1" applyAlignment="1">
      <alignment horizontal="center"/>
    </xf>
    <xf numFmtId="0" fontId="37" fillId="0" borderId="0" xfId="55" applyFont="1"/>
    <xf numFmtId="0" fontId="37" fillId="0" borderId="46" xfId="0" applyFont="1" applyBorder="1" applyAlignment="1">
      <alignment horizontal="centerContinuous"/>
    </xf>
    <xf numFmtId="0" fontId="37" fillId="0" borderId="30" xfId="0" applyFont="1" applyBorder="1" applyAlignment="1">
      <alignment horizontal="center"/>
    </xf>
    <xf numFmtId="0" fontId="31" fillId="0" borderId="31" xfId="0" applyFont="1" applyBorder="1" applyAlignment="1">
      <alignment horizontal="center"/>
    </xf>
    <xf numFmtId="0" fontId="31" fillId="0" borderId="93" xfId="0" applyFont="1" applyBorder="1" applyAlignment="1">
      <alignment horizontal="center"/>
    </xf>
    <xf numFmtId="0" fontId="10" fillId="0" borderId="19" xfId="0" applyFont="1" applyBorder="1" applyAlignment="1">
      <alignment horizontal="centerContinuous"/>
    </xf>
    <xf numFmtId="0" fontId="13" fillId="0" borderId="94" xfId="0" applyFont="1" applyBorder="1" applyAlignment="1">
      <alignment horizontal="center"/>
    </xf>
    <xf numFmtId="0" fontId="6" fillId="0" borderId="95" xfId="0" applyFont="1" applyBorder="1" applyAlignment="1">
      <alignment horizontal="center" vertical="center"/>
    </xf>
    <xf numFmtId="0" fontId="13" fillId="0" borderId="96" xfId="0" applyFont="1" applyBorder="1" applyAlignment="1">
      <alignment horizontal="centerContinuous" vertical="center" wrapText="1"/>
    </xf>
    <xf numFmtId="0" fontId="2" fillId="0" borderId="97" xfId="55" applyFont="1" applyBorder="1" applyAlignment="1">
      <alignment horizontal="left" vertical="top"/>
    </xf>
    <xf numFmtId="0" fontId="13" fillId="0" borderId="54" xfId="50" applyFont="1" applyBorder="1" applyAlignment="1">
      <alignment horizontal="right"/>
    </xf>
    <xf numFmtId="0" fontId="6" fillId="0" borderId="76" xfId="0" applyFont="1" applyBorder="1" applyAlignment="1">
      <alignment horizontal="right" vertical="center"/>
    </xf>
    <xf numFmtId="0" fontId="13" fillId="0" borderId="69" xfId="0" applyFont="1" applyBorder="1" applyAlignment="1">
      <alignment horizontal="centerContinuous" vertical="center"/>
    </xf>
    <xf numFmtId="0" fontId="19" fillId="0" borderId="33" xfId="0" applyFont="1" applyBorder="1" applyAlignment="1">
      <alignment horizontal="center"/>
    </xf>
    <xf numFmtId="0" fontId="3" fillId="0" borderId="11" xfId="55" applyFont="1" applyBorder="1" applyAlignment="1">
      <alignment horizontal="center"/>
    </xf>
    <xf numFmtId="0" fontId="13" fillId="0" borderId="35" xfId="55" applyFont="1" applyBorder="1" applyAlignment="1">
      <alignment horizontal="centerContinuous" vertical="center"/>
    </xf>
    <xf numFmtId="0" fontId="13" fillId="0" borderId="37" xfId="55" applyFont="1" applyBorder="1" applyAlignment="1">
      <alignment horizontal="centerContinuous" vertical="center"/>
    </xf>
    <xf numFmtId="0" fontId="6" fillId="0" borderId="35" xfId="50" applyFont="1" applyBorder="1" applyAlignment="1">
      <alignment horizontal="centerContinuous" vertical="center"/>
    </xf>
    <xf numFmtId="0" fontId="21" fillId="0" borderId="46" xfId="0" applyFont="1" applyBorder="1" applyAlignment="1">
      <alignment horizontal="left" vertical="center" wrapText="1"/>
    </xf>
    <xf numFmtId="0" fontId="3" fillId="0" borderId="97" xfId="0" applyFont="1" applyBorder="1" applyAlignment="1">
      <alignment horizontal="centerContinuous"/>
    </xf>
    <xf numFmtId="0" fontId="21" fillId="0" borderId="94" xfId="0" applyFont="1" applyBorder="1" applyAlignment="1">
      <alignment horizontal="centerContinuous" vertical="center" wrapText="1"/>
    </xf>
    <xf numFmtId="0" fontId="13" fillId="0" borderId="25" xfId="0" applyFont="1" applyBorder="1" applyAlignment="1">
      <alignment horizontal="center" vertical="center" wrapText="1"/>
    </xf>
    <xf numFmtId="0" fontId="21" fillId="0" borderId="89" xfId="0" applyFont="1" applyBorder="1" applyAlignment="1">
      <alignment horizontal="centerContinuous" vertical="center" wrapText="1"/>
    </xf>
    <xf numFmtId="0" fontId="21" fillId="0" borderId="98" xfId="0" applyFont="1" applyBorder="1" applyAlignment="1">
      <alignment horizontal="center" vertical="center"/>
    </xf>
    <xf numFmtId="0" fontId="13" fillId="0" borderId="93" xfId="0" applyFont="1" applyBorder="1" applyAlignment="1">
      <alignment horizontal="center" wrapText="1"/>
    </xf>
    <xf numFmtId="0" fontId="7" fillId="0" borderId="0" xfId="0" applyFont="1" applyAlignment="1">
      <alignment horizontal="left" vertical="top"/>
    </xf>
    <xf numFmtId="0" fontId="26" fillId="0" borderId="0" xfId="0" applyFont="1" applyAlignment="1">
      <alignment horizontal="right" vertical="top"/>
    </xf>
    <xf numFmtId="0" fontId="6" fillId="0" borderId="35" xfId="0" applyFont="1" applyBorder="1" applyAlignment="1">
      <alignment horizontal="centerContinuous" vertical="center"/>
    </xf>
    <xf numFmtId="0" fontId="22" fillId="0" borderId="0" xfId="0" applyFont="1" applyAlignment="1">
      <alignment horizontal="center"/>
    </xf>
    <xf numFmtId="0" fontId="7" fillId="0" borderId="0" xfId="0" applyFont="1" applyAlignment="1">
      <alignment vertical="top" wrapText="1"/>
    </xf>
    <xf numFmtId="0" fontId="27" fillId="0" borderId="0" xfId="0" applyFont="1" applyAlignment="1">
      <alignment vertical="center" wrapText="1"/>
    </xf>
    <xf numFmtId="0" fontId="32" fillId="0" borderId="0" xfId="0" applyFont="1"/>
    <xf numFmtId="0" fontId="22" fillId="0" borderId="0" xfId="0" applyFont="1" applyAlignment="1">
      <alignment horizontal="left"/>
    </xf>
    <xf numFmtId="38" fontId="14" fillId="0" borderId="52" xfId="32" applyNumberFormat="1" applyFont="1" applyBorder="1"/>
    <xf numFmtId="38" fontId="14" fillId="0" borderId="36" xfId="32" applyNumberFormat="1" applyFont="1" applyBorder="1"/>
    <xf numFmtId="38" fontId="14" fillId="0" borderId="64" xfId="32" applyNumberFormat="1" applyFont="1" applyBorder="1"/>
    <xf numFmtId="0" fontId="14" fillId="0" borderId="36" xfId="0" applyFont="1" applyBorder="1" applyAlignment="1">
      <alignment horizontal="center"/>
    </xf>
    <xf numFmtId="0" fontId="14" fillId="0" borderId="52" xfId="0" applyFont="1" applyBorder="1" applyAlignment="1">
      <alignment horizontal="center"/>
    </xf>
    <xf numFmtId="3" fontId="3" fillId="24" borderId="66" xfId="0" applyNumberFormat="1" applyFont="1" applyFill="1" applyBorder="1" applyProtection="1">
      <protection locked="0"/>
    </xf>
    <xf numFmtId="3" fontId="3" fillId="24" borderId="49" xfId="0" applyNumberFormat="1" applyFont="1" applyFill="1" applyBorder="1" applyProtection="1">
      <protection locked="0"/>
    </xf>
    <xf numFmtId="0" fontId="38" fillId="0" borderId="97" xfId="0" applyFont="1" applyBorder="1" applyAlignment="1">
      <alignment horizontal="right" vertical="center" wrapText="1"/>
    </xf>
    <xf numFmtId="3" fontId="3" fillId="0" borderId="15" xfId="54" applyNumberFormat="1" applyFont="1" applyBorder="1" applyProtection="1">
      <protection locked="0"/>
    </xf>
    <xf numFmtId="3" fontId="3" fillId="0" borderId="99" xfId="54" applyNumberFormat="1" applyFont="1" applyBorder="1" applyProtection="1">
      <protection locked="0"/>
    </xf>
    <xf numFmtId="3" fontId="3" fillId="0" borderId="79" xfId="54" applyNumberFormat="1" applyFont="1" applyBorder="1" applyProtection="1">
      <protection locked="0"/>
    </xf>
    <xf numFmtId="3" fontId="3" fillId="0" borderId="100" xfId="54" applyNumberFormat="1" applyFont="1" applyBorder="1" applyProtection="1">
      <protection locked="0"/>
    </xf>
    <xf numFmtId="3" fontId="3" fillId="0" borderId="16" xfId="54" applyNumberFormat="1" applyFont="1" applyBorder="1" applyProtection="1">
      <protection locked="0"/>
    </xf>
    <xf numFmtId="3" fontId="3" fillId="0" borderId="66" xfId="54" applyNumberFormat="1" applyFont="1" applyBorder="1" applyProtection="1">
      <protection locked="0"/>
    </xf>
    <xf numFmtId="3" fontId="3" fillId="0" borderId="59" xfId="54" applyNumberFormat="1" applyFont="1" applyBorder="1" applyProtection="1">
      <protection locked="0"/>
    </xf>
    <xf numFmtId="3" fontId="3" fillId="0" borderId="49" xfId="54" applyNumberFormat="1" applyFont="1" applyBorder="1" applyProtection="1">
      <protection locked="0"/>
    </xf>
    <xf numFmtId="3" fontId="3" fillId="0" borderId="80" xfId="54" applyNumberFormat="1" applyFont="1" applyBorder="1" applyProtection="1">
      <protection locked="0"/>
    </xf>
    <xf numFmtId="3" fontId="3" fillId="0" borderId="82" xfId="54" applyNumberFormat="1" applyFont="1" applyBorder="1" applyProtection="1">
      <protection locked="0"/>
    </xf>
    <xf numFmtId="3" fontId="3" fillId="24" borderId="36" xfId="0" applyNumberFormat="1" applyFont="1" applyFill="1" applyBorder="1"/>
    <xf numFmtId="3" fontId="3" fillId="0" borderId="36" xfId="0" applyNumberFormat="1" applyFont="1" applyBorder="1"/>
    <xf numFmtId="40" fontId="14" fillId="0" borderId="36" xfId="32" applyFont="1" applyBorder="1" applyAlignment="1"/>
    <xf numFmtId="38" fontId="14" fillId="0" borderId="36" xfId="32" applyNumberFormat="1" applyFont="1" applyBorder="1" applyAlignment="1"/>
    <xf numFmtId="4" fontId="14" fillId="0" borderId="36" xfId="0" applyNumberFormat="1" applyFont="1" applyBorder="1"/>
    <xf numFmtId="10" fontId="14" fillId="0" borderId="36" xfId="58" applyNumberFormat="1" applyFont="1" applyBorder="1" applyAlignment="1"/>
    <xf numFmtId="0" fontId="14" fillId="0" borderId="101" xfId="0" applyFont="1" applyBorder="1" applyAlignment="1">
      <alignment horizontal="center" vertical="center" wrapText="1"/>
    </xf>
    <xf numFmtId="0" fontId="13" fillId="0" borderId="0" xfId="0" applyFont="1"/>
    <xf numFmtId="0" fontId="7" fillId="0" borderId="0" xfId="0" applyFont="1" applyAlignment="1">
      <alignment horizontal="left" vertical="top" wrapText="1"/>
    </xf>
    <xf numFmtId="164" fontId="39" fillId="0" borderId="0" xfId="48" applyAlignment="1">
      <alignment vertical="center"/>
    </xf>
    <xf numFmtId="164" fontId="40" fillId="0" borderId="0" xfId="48" applyFont="1" applyAlignment="1">
      <alignment vertical="center"/>
    </xf>
    <xf numFmtId="164" fontId="23" fillId="0" borderId="0" xfId="48" applyFont="1" applyAlignment="1">
      <alignment horizontal="left" vertical="center"/>
    </xf>
    <xf numFmtId="164" fontId="14" fillId="0" borderId="0" xfId="48" applyFont="1" applyAlignment="1">
      <alignment horizontal="left" vertical="top"/>
    </xf>
    <xf numFmtId="164" fontId="44" fillId="0" borderId="0" xfId="48" applyFont="1" applyAlignment="1">
      <alignment vertical="top"/>
    </xf>
    <xf numFmtId="164" fontId="44" fillId="0" borderId="0" xfId="48" applyFont="1" applyAlignment="1">
      <alignment vertical="center"/>
    </xf>
    <xf numFmtId="164" fontId="39" fillId="0" borderId="0" xfId="49" applyNumberFormat="1" applyFont="1" applyAlignment="1">
      <alignment vertical="center"/>
    </xf>
    <xf numFmtId="164" fontId="46" fillId="0" borderId="0" xfId="48" applyFont="1" applyAlignment="1">
      <alignment vertical="center"/>
    </xf>
    <xf numFmtId="164" fontId="9" fillId="0" borderId="0" xfId="48" applyFont="1" applyAlignment="1">
      <alignment horizontal="left" vertical="center"/>
    </xf>
    <xf numFmtId="0" fontId="48" fillId="0" borderId="79" xfId="0" applyFont="1" applyBorder="1" applyAlignment="1">
      <alignment horizontal="center"/>
    </xf>
    <xf numFmtId="0" fontId="48" fillId="0" borderId="49" xfId="0" applyFont="1" applyBorder="1" applyAlignment="1">
      <alignment horizontal="center"/>
    </xf>
    <xf numFmtId="3" fontId="3" fillId="0" borderId="0" xfId="0" applyNumberFormat="1" applyFont="1" applyAlignment="1">
      <alignment horizontal="center"/>
    </xf>
    <xf numFmtId="3" fontId="3" fillId="0" borderId="0" xfId="0" applyNumberFormat="1" applyFont="1"/>
    <xf numFmtId="4" fontId="49" fillId="0" borderId="36" xfId="0" applyNumberFormat="1" applyFont="1" applyBorder="1" applyAlignment="1">
      <alignment horizontal="center"/>
    </xf>
    <xf numFmtId="3" fontId="13" fillId="0" borderId="36" xfId="0" applyNumberFormat="1" applyFont="1" applyBorder="1"/>
    <xf numFmtId="0" fontId="3" fillId="0" borderId="38" xfId="0" applyFont="1" applyBorder="1" applyAlignment="1">
      <alignment horizontal="centerContinuous"/>
    </xf>
    <xf numFmtId="0" fontId="3" fillId="0" borderId="102" xfId="0" applyFont="1" applyBorder="1" applyAlignment="1">
      <alignment horizontal="center"/>
    </xf>
    <xf numFmtId="164" fontId="23" fillId="0" borderId="0" xfId="48" applyFont="1" applyAlignment="1">
      <alignment vertical="center"/>
    </xf>
    <xf numFmtId="164" fontId="41" fillId="0" borderId="0" xfId="48" applyFont="1" applyAlignment="1">
      <alignment vertical="center"/>
    </xf>
    <xf numFmtId="0" fontId="14" fillId="0" borderId="0" xfId="46" applyFont="1" applyAlignment="1">
      <alignment vertical="center"/>
    </xf>
    <xf numFmtId="164" fontId="14" fillId="0" borderId="0" xfId="48" applyFont="1" applyAlignment="1">
      <alignment vertical="top"/>
    </xf>
    <xf numFmtId="164" fontId="13" fillId="0" borderId="0" xfId="48" applyFont="1" applyAlignment="1">
      <alignment vertical="center"/>
    </xf>
    <xf numFmtId="164" fontId="14" fillId="0" borderId="0" xfId="48" applyFont="1" applyAlignment="1">
      <alignment vertical="center"/>
    </xf>
    <xf numFmtId="164" fontId="45" fillId="0" borderId="0" xfId="48" applyFont="1" applyAlignment="1">
      <alignment horizontal="left" vertical="center" wrapText="1"/>
    </xf>
    <xf numFmtId="0" fontId="43" fillId="0" borderId="0" xfId="46" applyFont="1" applyAlignment="1">
      <alignment horizontal="left" vertical="center"/>
    </xf>
    <xf numFmtId="0" fontId="25" fillId="0" borderId="0" xfId="46" applyFont="1" applyAlignment="1">
      <alignment horizontal="center" vertical="center"/>
    </xf>
    <xf numFmtId="164" fontId="9" fillId="0" borderId="0" xfId="49" applyNumberFormat="1" applyFont="1" applyAlignment="1">
      <alignment vertical="center"/>
    </xf>
    <xf numFmtId="164" fontId="22" fillId="0" borderId="0" xfId="49" applyNumberFormat="1" applyFont="1" applyAlignment="1">
      <alignment vertical="center"/>
    </xf>
    <xf numFmtId="164" fontId="23" fillId="0" borderId="0" xfId="49" applyNumberFormat="1" applyFont="1" applyAlignment="1">
      <alignment vertical="center"/>
    </xf>
    <xf numFmtId="0" fontId="21" fillId="0" borderId="0" xfId="0" applyFont="1" applyAlignment="1">
      <alignment horizontal="center" vertical="top"/>
    </xf>
    <xf numFmtId="0" fontId="15" fillId="0" borderId="0" xfId="49"/>
    <xf numFmtId="164" fontId="21" fillId="0" borderId="36" xfId="48" applyFont="1" applyBorder="1" applyAlignment="1">
      <alignment horizontal="center" vertical="center"/>
    </xf>
    <xf numFmtId="0" fontId="29" fillId="0" borderId="0" xfId="47" applyAlignment="1">
      <alignment vertical="center"/>
    </xf>
    <xf numFmtId="164" fontId="47" fillId="0" borderId="0" xfId="48" applyFont="1" applyAlignment="1">
      <alignment vertical="center"/>
    </xf>
    <xf numFmtId="167" fontId="40" fillId="0" borderId="0" xfId="48" applyNumberFormat="1" applyFont="1" applyAlignment="1">
      <alignment vertical="center"/>
    </xf>
    <xf numFmtId="164" fontId="50" fillId="0" borderId="0" xfId="48" applyFont="1" applyAlignment="1">
      <alignment vertical="center"/>
    </xf>
    <xf numFmtId="167" fontId="39" fillId="0" borderId="0" xfId="48" applyNumberFormat="1" applyAlignment="1" applyProtection="1">
      <alignment vertical="center"/>
      <protection locked="0"/>
    </xf>
    <xf numFmtId="0" fontId="3" fillId="0" borderId="79" xfId="55" applyFont="1" applyBorder="1" applyAlignment="1">
      <alignment horizontal="centerContinuous" vertical="center" wrapText="1"/>
    </xf>
    <xf numFmtId="0" fontId="17" fillId="0" borderId="87" xfId="55" applyFont="1" applyBorder="1" applyAlignment="1">
      <alignment horizontal="centerContinuous" vertical="center" wrapText="1"/>
    </xf>
    <xf numFmtId="0" fontId="17" fillId="0" borderId="103" xfId="55" applyFont="1" applyBorder="1" applyAlignment="1">
      <alignment horizontal="centerContinuous" vertical="center" wrapText="1"/>
    </xf>
    <xf numFmtId="0" fontId="18" fillId="0" borderId="104" xfId="55" applyFont="1" applyBorder="1" applyAlignment="1">
      <alignment horizontal="centerContinuous" vertical="center"/>
    </xf>
    <xf numFmtId="1" fontId="3" fillId="0" borderId="0" xfId="0" applyNumberFormat="1" applyFont="1"/>
    <xf numFmtId="1" fontId="13" fillId="0" borderId="36" xfId="0" applyNumberFormat="1" applyFont="1" applyBorder="1" applyAlignment="1">
      <alignment horizontal="center" vertical="center" wrapText="1"/>
    </xf>
    <xf numFmtId="1" fontId="10" fillId="0" borderId="36" xfId="0" applyNumberFormat="1" applyFont="1" applyBorder="1" applyAlignment="1">
      <alignment horizontal="center" vertical="center" wrapText="1"/>
    </xf>
    <xf numFmtId="1" fontId="3" fillId="0" borderId="0" xfId="0" applyNumberFormat="1" applyFont="1" applyAlignment="1">
      <alignment horizontal="center"/>
    </xf>
    <xf numFmtId="3" fontId="13" fillId="0" borderId="36" xfId="0" applyNumberFormat="1" applyFont="1" applyBorder="1" applyAlignment="1">
      <alignment horizontal="center" vertical="center" wrapText="1"/>
    </xf>
    <xf numFmtId="3" fontId="10" fillId="0" borderId="36" xfId="0" applyNumberFormat="1" applyFont="1" applyBorder="1" applyAlignment="1">
      <alignment horizontal="center" vertical="center" wrapText="1"/>
    </xf>
    <xf numFmtId="0" fontId="51" fillId="0" borderId="0" xfId="0" applyFont="1"/>
    <xf numFmtId="38" fontId="51" fillId="0" borderId="0" xfId="0" applyNumberFormat="1" applyFont="1"/>
    <xf numFmtId="0" fontId="52" fillId="0" borderId="0" xfId="0" applyFont="1"/>
    <xf numFmtId="0" fontId="29" fillId="0" borderId="0" xfId="0" applyFont="1"/>
    <xf numFmtId="0" fontId="53" fillId="0" borderId="0" xfId="0" applyFont="1"/>
    <xf numFmtId="10" fontId="29" fillId="0" borderId="91" xfId="58" applyNumberFormat="1" applyFont="1" applyBorder="1" applyAlignment="1">
      <alignment horizontal="center"/>
    </xf>
    <xf numFmtId="10" fontId="29" fillId="0" borderId="71" xfId="58" applyNumberFormat="1" applyFont="1" applyBorder="1" applyAlignment="1">
      <alignment horizontal="center"/>
    </xf>
    <xf numFmtId="10" fontId="29" fillId="0" borderId="105" xfId="58" applyNumberFormat="1" applyFont="1" applyBorder="1" applyAlignment="1">
      <alignment horizontal="center"/>
    </xf>
    <xf numFmtId="10" fontId="30" fillId="0" borderId="64" xfId="58" applyNumberFormat="1" applyFont="1" applyBorder="1" applyAlignment="1">
      <alignment horizontal="center" wrapText="1"/>
    </xf>
    <xf numFmtId="10" fontId="29" fillId="0" borderId="64" xfId="58" applyNumberFormat="1" applyFont="1" applyBorder="1" applyAlignment="1">
      <alignment horizontal="center"/>
    </xf>
    <xf numFmtId="10" fontId="29" fillId="0" borderId="59" xfId="58" applyNumberFormat="1" applyFont="1" applyBorder="1" applyAlignment="1">
      <alignment horizontal="center"/>
    </xf>
    <xf numFmtId="168" fontId="3" fillId="24" borderId="66" xfId="0" applyNumberFormat="1" applyFont="1" applyFill="1" applyBorder="1"/>
    <xf numFmtId="168" fontId="3" fillId="24" borderId="91" xfId="0" applyNumberFormat="1" applyFont="1" applyFill="1" applyBorder="1"/>
    <xf numFmtId="168" fontId="3" fillId="0" borderId="106" xfId="0" applyNumberFormat="1" applyFont="1" applyBorder="1"/>
    <xf numFmtId="168" fontId="3" fillId="0" borderId="107" xfId="0" applyNumberFormat="1" applyFont="1" applyBorder="1"/>
    <xf numFmtId="168" fontId="3" fillId="0" borderId="108" xfId="0" applyNumberFormat="1" applyFont="1" applyBorder="1"/>
    <xf numFmtId="168" fontId="3" fillId="0" borderId="54" xfId="50" applyNumberFormat="1" applyFont="1" applyBorder="1"/>
    <xf numFmtId="168" fontId="3" fillId="0" borderId="107" xfId="50" applyNumberFormat="1" applyFont="1" applyBorder="1"/>
    <xf numFmtId="168" fontId="3" fillId="0" borderId="106" xfId="50" applyNumberFormat="1" applyFont="1" applyBorder="1"/>
    <xf numFmtId="168" fontId="3" fillId="24" borderId="67" xfId="0" applyNumberFormat="1" applyFont="1" applyFill="1" applyBorder="1"/>
    <xf numFmtId="168" fontId="3" fillId="24" borderId="109" xfId="0" applyNumberFormat="1" applyFont="1" applyFill="1" applyBorder="1" applyAlignment="1">
      <alignment vertical="center"/>
    </xf>
    <xf numFmtId="168" fontId="3" fillId="0" borderId="106" xfId="0" applyNumberFormat="1" applyFont="1" applyBorder="1" applyAlignment="1">
      <alignment vertical="center"/>
    </xf>
    <xf numFmtId="168" fontId="3" fillId="0" borderId="110" xfId="0" applyNumberFormat="1" applyFont="1" applyBorder="1" applyAlignment="1">
      <alignment vertical="center"/>
    </xf>
    <xf numFmtId="168" fontId="3" fillId="0" borderId="87" xfId="50" applyNumberFormat="1" applyFont="1" applyBorder="1"/>
    <xf numFmtId="168" fontId="3" fillId="0" borderId="90" xfId="50" applyNumberFormat="1" applyFont="1" applyBorder="1"/>
    <xf numFmtId="168" fontId="3" fillId="0" borderId="111" xfId="50" applyNumberFormat="1" applyFont="1" applyBorder="1"/>
    <xf numFmtId="168" fontId="3" fillId="0" borderId="91" xfId="50" applyNumberFormat="1" applyFont="1" applyBorder="1"/>
    <xf numFmtId="168" fontId="14" fillId="0" borderId="81" xfId="51" applyNumberFormat="1" applyFont="1" applyBorder="1"/>
    <xf numFmtId="168" fontId="14" fillId="0" borderId="71" xfId="51" applyNumberFormat="1" applyFont="1" applyBorder="1"/>
    <xf numFmtId="168" fontId="14" fillId="24" borderId="106" xfId="51" applyNumberFormat="1" applyFont="1" applyFill="1" applyBorder="1"/>
    <xf numFmtId="168" fontId="14" fillId="24" borderId="108" xfId="51" applyNumberFormat="1" applyFont="1" applyFill="1" applyBorder="1"/>
    <xf numFmtId="168" fontId="14" fillId="24" borderId="107" xfId="51" applyNumberFormat="1" applyFont="1" applyFill="1" applyBorder="1"/>
    <xf numFmtId="168" fontId="3" fillId="24" borderId="106" xfId="52" applyNumberFormat="1" applyFont="1" applyFill="1" applyBorder="1"/>
    <xf numFmtId="168" fontId="3" fillId="24" borderId="107" xfId="52" applyNumberFormat="1" applyFont="1" applyFill="1" applyBorder="1"/>
    <xf numFmtId="168" fontId="3" fillId="24" borderId="108" xfId="52" applyNumberFormat="1" applyFont="1" applyFill="1" applyBorder="1"/>
    <xf numFmtId="168" fontId="3" fillId="24" borderId="80" xfId="52" applyNumberFormat="1" applyFont="1" applyFill="1" applyBorder="1"/>
    <xf numFmtId="168" fontId="3" fillId="24" borderId="112" xfId="52" applyNumberFormat="1" applyFont="1" applyFill="1" applyBorder="1"/>
    <xf numFmtId="168" fontId="3" fillId="24" borderId="69" xfId="52" applyNumberFormat="1" applyFont="1" applyFill="1" applyBorder="1"/>
    <xf numFmtId="168" fontId="3" fillId="24" borderId="87" xfId="53" applyNumberFormat="1" applyFont="1" applyFill="1" applyBorder="1"/>
    <xf numFmtId="168" fontId="3" fillId="24" borderId="112" xfId="53" applyNumberFormat="1" applyFont="1" applyFill="1" applyBorder="1"/>
    <xf numFmtId="168" fontId="3" fillId="24" borderId="111" xfId="53" applyNumberFormat="1" applyFont="1" applyFill="1" applyBorder="1"/>
    <xf numFmtId="168" fontId="3" fillId="24" borderId="69" xfId="53" applyNumberFormat="1" applyFont="1" applyFill="1" applyBorder="1"/>
    <xf numFmtId="168" fontId="3" fillId="24" borderId="106" xfId="53" applyNumberFormat="1" applyFont="1" applyFill="1" applyBorder="1"/>
    <xf numFmtId="168" fontId="3" fillId="24" borderId="108" xfId="53" applyNumberFormat="1" applyFont="1" applyFill="1" applyBorder="1"/>
    <xf numFmtId="168" fontId="3" fillId="24" borderId="107" xfId="53" applyNumberFormat="1" applyFont="1" applyFill="1" applyBorder="1"/>
    <xf numFmtId="168" fontId="3" fillId="24" borderId="81" xfId="54" applyNumberFormat="1" applyFont="1" applyFill="1" applyBorder="1"/>
    <xf numFmtId="168" fontId="3" fillId="24" borderId="77" xfId="54" applyNumberFormat="1" applyFont="1" applyFill="1" applyBorder="1"/>
    <xf numFmtId="168" fontId="3" fillId="24" borderId="106" xfId="54" applyNumberFormat="1" applyFont="1" applyFill="1" applyBorder="1"/>
    <xf numFmtId="168" fontId="3" fillId="24" borderId="107" xfId="54" applyNumberFormat="1" applyFont="1" applyFill="1" applyBorder="1"/>
    <xf numFmtId="168" fontId="3" fillId="24" borderId="87" xfId="0" applyNumberFormat="1" applyFont="1" applyFill="1" applyBorder="1"/>
    <xf numFmtId="168" fontId="3" fillId="24" borderId="90" xfId="0" applyNumberFormat="1" applyFont="1" applyFill="1" applyBorder="1"/>
    <xf numFmtId="168" fontId="3" fillId="24" borderId="111" xfId="0" applyNumberFormat="1" applyFont="1" applyFill="1" applyBorder="1"/>
    <xf numFmtId="168" fontId="3" fillId="24" borderId="106" xfId="55" applyNumberFormat="1" applyFont="1" applyFill="1" applyBorder="1"/>
    <xf numFmtId="168" fontId="3" fillId="24" borderId="107" xfId="55" applyNumberFormat="1" applyFont="1" applyFill="1" applyBorder="1"/>
    <xf numFmtId="168" fontId="3" fillId="24" borderId="108" xfId="55" applyNumberFormat="1" applyFont="1" applyFill="1" applyBorder="1"/>
    <xf numFmtId="0" fontId="3" fillId="0" borderId="113" xfId="55" applyFont="1" applyBorder="1" applyAlignment="1">
      <alignment horizontal="centerContinuous" vertical="center" wrapText="1"/>
    </xf>
    <xf numFmtId="168" fontId="3" fillId="24" borderId="114" xfId="0" applyNumberFormat="1" applyFont="1" applyFill="1" applyBorder="1"/>
    <xf numFmtId="168" fontId="3" fillId="24" borderId="115" xfId="0" applyNumberFormat="1" applyFont="1" applyFill="1" applyBorder="1"/>
    <xf numFmtId="168" fontId="3" fillId="24" borderId="106" xfId="0" applyNumberFormat="1" applyFont="1" applyFill="1" applyBorder="1"/>
    <xf numFmtId="168" fontId="3" fillId="24" borderId="69" xfId="0" applyNumberFormat="1" applyFont="1" applyFill="1" applyBorder="1"/>
    <xf numFmtId="0" fontId="39" fillId="0" borderId="0" xfId="48" applyNumberFormat="1" applyAlignment="1" applyProtection="1">
      <alignment vertical="center"/>
      <protection locked="0"/>
    </xf>
    <xf numFmtId="0" fontId="27" fillId="0" borderId="116" xfId="0" applyFont="1" applyBorder="1" applyAlignment="1">
      <alignment horizontal="left" vertical="center" wrapText="1"/>
    </xf>
    <xf numFmtId="0" fontId="54" fillId="0" borderId="31" xfId="0" applyFont="1" applyBorder="1" applyAlignment="1">
      <alignment horizontal="center" vertical="center" wrapText="1"/>
    </xf>
    <xf numFmtId="0" fontId="54" fillId="0" borderId="117" xfId="0" applyFont="1" applyBorder="1" applyAlignment="1">
      <alignment horizontal="center" vertical="center" wrapText="1"/>
    </xf>
    <xf numFmtId="0" fontId="55" fillId="0" borderId="0" xfId="0" applyFont="1"/>
    <xf numFmtId="0" fontId="16" fillId="0" borderId="15" xfId="55" applyFont="1" applyBorder="1" applyAlignment="1">
      <alignment horizontal="centerContinuous" vertical="center" wrapText="1"/>
    </xf>
    <xf numFmtId="0" fontId="3" fillId="0" borderId="16" xfId="55" applyFont="1" applyBorder="1" applyAlignment="1">
      <alignment horizontal="centerContinuous" vertical="center" wrapText="1"/>
    </xf>
    <xf numFmtId="2" fontId="14" fillId="0" borderId="118" xfId="0" applyNumberFormat="1" applyFont="1" applyBorder="1" applyAlignment="1">
      <alignment horizontal="center" vertical="center" wrapText="1"/>
    </xf>
    <xf numFmtId="164" fontId="9" fillId="0" borderId="0" xfId="48" applyFont="1" applyAlignment="1">
      <alignment horizontal="left" vertical="center" wrapText="1"/>
    </xf>
    <xf numFmtId="167" fontId="39" fillId="0" borderId="0" xfId="48" applyNumberFormat="1" applyAlignment="1">
      <alignment vertical="center"/>
    </xf>
    <xf numFmtId="164" fontId="57" fillId="0" borderId="0" xfId="48" applyFont="1" applyAlignment="1">
      <alignment horizontal="center" vertical="center" wrapText="1"/>
    </xf>
    <xf numFmtId="0" fontId="57" fillId="0" borderId="0" xfId="48" applyNumberFormat="1" applyFont="1" applyAlignment="1">
      <alignment horizontal="center" vertical="center" wrapText="1"/>
    </xf>
    <xf numFmtId="49" fontId="59" fillId="0" borderId="60" xfId="22" applyNumberFormat="1" applyFont="1" applyBorder="1" applyAlignment="1" applyProtection="1">
      <alignment horizontal="left" vertical="center"/>
      <protection locked="0"/>
    </xf>
    <xf numFmtId="0" fontId="39" fillId="0" borderId="0" xfId="48" applyNumberFormat="1" applyAlignment="1">
      <alignment vertical="center"/>
    </xf>
    <xf numFmtId="164" fontId="60" fillId="0" borderId="0" xfId="48" applyFont="1" applyAlignment="1">
      <alignment vertical="center"/>
    </xf>
    <xf numFmtId="0" fontId="14" fillId="0" borderId="119" xfId="0" applyFont="1" applyBorder="1" applyAlignment="1">
      <alignment horizontal="left"/>
    </xf>
    <xf numFmtId="3" fontId="3" fillId="24" borderId="120" xfId="0" applyNumberFormat="1" applyFont="1" applyFill="1" applyBorder="1" applyAlignment="1">
      <alignment horizontal="center"/>
    </xf>
    <xf numFmtId="0" fontId="13" fillId="0" borderId="121" xfId="0" applyFont="1" applyBorder="1" applyAlignment="1">
      <alignment horizontal="center"/>
    </xf>
    <xf numFmtId="3" fontId="13" fillId="0" borderId="122" xfId="0" applyNumberFormat="1" applyFont="1" applyBorder="1" applyAlignment="1">
      <alignment horizontal="center"/>
    </xf>
    <xf numFmtId="171" fontId="3" fillId="24" borderId="114" xfId="0" applyNumberFormat="1" applyFont="1" applyFill="1" applyBorder="1"/>
    <xf numFmtId="0" fontId="10" fillId="0" borderId="119" xfId="0" applyFont="1" applyBorder="1" applyAlignment="1">
      <alignment horizontal="center" vertical="center" wrapText="1"/>
    </xf>
    <xf numFmtId="0" fontId="10" fillId="0" borderId="120" xfId="0" applyFont="1" applyBorder="1" applyAlignment="1">
      <alignment horizontal="center" vertical="center" wrapText="1"/>
    </xf>
    <xf numFmtId="0" fontId="10" fillId="0" borderId="123" xfId="0" applyFont="1" applyBorder="1" applyAlignment="1">
      <alignment horizontal="center" vertical="center" wrapText="1"/>
    </xf>
    <xf numFmtId="164" fontId="23" fillId="0" borderId="0" xfId="48" applyFont="1" applyAlignment="1">
      <alignment vertical="top"/>
    </xf>
    <xf numFmtId="168" fontId="3" fillId="0" borderId="124" xfId="50" applyNumberFormat="1" applyFont="1" applyBorder="1"/>
    <xf numFmtId="3" fontId="3" fillId="0" borderId="59" xfId="50" applyNumberFormat="1" applyFont="1" applyBorder="1" applyProtection="1">
      <protection locked="0"/>
    </xf>
    <xf numFmtId="168" fontId="3" fillId="0" borderId="28" xfId="50" applyNumberFormat="1" applyFont="1" applyBorder="1"/>
    <xf numFmtId="3" fontId="3" fillId="0" borderId="87" xfId="50" applyNumberFormat="1" applyFont="1" applyBorder="1" applyProtection="1">
      <protection locked="0"/>
    </xf>
    <xf numFmtId="3" fontId="3" fillId="0" borderId="111" xfId="50" applyNumberFormat="1" applyFont="1" applyBorder="1" applyProtection="1">
      <protection locked="0"/>
    </xf>
    <xf numFmtId="3" fontId="3" fillId="0" borderId="125" xfId="54" applyNumberFormat="1" applyFont="1" applyBorder="1" applyProtection="1">
      <protection locked="0"/>
    </xf>
    <xf numFmtId="3" fontId="3" fillId="0" borderId="78" xfId="54" applyNumberFormat="1" applyFont="1" applyBorder="1" applyProtection="1">
      <protection locked="0"/>
    </xf>
    <xf numFmtId="168" fontId="3" fillId="24" borderId="124" xfId="54" applyNumberFormat="1" applyFont="1" applyFill="1" applyBorder="1"/>
    <xf numFmtId="168" fontId="3" fillId="24" borderId="126" xfId="54" applyNumberFormat="1" applyFont="1" applyFill="1" applyBorder="1"/>
    <xf numFmtId="168" fontId="3" fillId="24" borderId="127" xfId="54" applyNumberFormat="1" applyFont="1" applyFill="1" applyBorder="1"/>
    <xf numFmtId="0" fontId="18" fillId="0" borderId="128" xfId="54" applyFont="1" applyBorder="1" applyAlignment="1">
      <alignment horizontal="centerContinuous" vertical="center" wrapText="1"/>
    </xf>
    <xf numFmtId="0" fontId="18" fillId="0" borderId="129" xfId="54" applyFont="1" applyBorder="1" applyAlignment="1">
      <alignment horizontal="centerContinuous" vertical="center" wrapText="1"/>
    </xf>
    <xf numFmtId="168" fontId="3" fillId="24" borderId="130" xfId="54" applyNumberFormat="1" applyFont="1" applyFill="1" applyBorder="1"/>
    <xf numFmtId="168" fontId="0" fillId="0" borderId="131" xfId="0" applyNumberFormat="1" applyBorder="1"/>
    <xf numFmtId="168" fontId="3" fillId="0" borderId="108" xfId="50" applyNumberFormat="1" applyFont="1" applyBorder="1"/>
    <xf numFmtId="168" fontId="14" fillId="24" borderId="114" xfId="51" applyNumberFormat="1" applyFont="1" applyFill="1" applyBorder="1"/>
    <xf numFmtId="168" fontId="3" fillId="24" borderId="81" xfId="55" applyNumberFormat="1" applyFont="1" applyFill="1" applyBorder="1"/>
    <xf numFmtId="0" fontId="37" fillId="0" borderId="94" xfId="55" applyFont="1" applyBorder="1" applyAlignment="1">
      <alignment horizontal="center"/>
    </xf>
    <xf numFmtId="168" fontId="3" fillId="24" borderId="77" xfId="55" applyNumberFormat="1" applyFont="1" applyFill="1" applyBorder="1"/>
    <xf numFmtId="164" fontId="9" fillId="0" borderId="0" xfId="48" applyFont="1" applyAlignment="1" applyProtection="1">
      <alignment vertical="center"/>
      <protection locked="0"/>
    </xf>
    <xf numFmtId="164" fontId="23" fillId="24" borderId="0" xfId="48" applyFont="1" applyFill="1" applyAlignment="1">
      <alignment vertical="center"/>
    </xf>
    <xf numFmtId="0" fontId="0" fillId="24" borderId="0" xfId="0" applyFill="1"/>
    <xf numFmtId="164" fontId="61" fillId="24" borderId="0" xfId="48" applyFont="1" applyFill="1" applyAlignment="1">
      <alignment vertical="center"/>
    </xf>
    <xf numFmtId="164" fontId="9" fillId="0" borderId="0" xfId="48" applyFont="1" applyAlignment="1">
      <alignment vertical="center"/>
    </xf>
    <xf numFmtId="164" fontId="39" fillId="0" borderId="0" xfId="48" applyAlignment="1" applyProtection="1">
      <alignment vertical="center"/>
      <protection locked="0"/>
    </xf>
    <xf numFmtId="49" fontId="23" fillId="24" borderId="20" xfId="46" applyNumberFormat="1" applyFont="1" applyFill="1" applyBorder="1" applyAlignment="1" applyProtection="1">
      <alignment horizontal="left" vertical="center"/>
      <protection locked="0"/>
    </xf>
    <xf numFmtId="49" fontId="23" fillId="24" borderId="0" xfId="46" applyNumberFormat="1" applyFont="1" applyFill="1" applyAlignment="1" applyProtection="1">
      <alignment horizontal="left" vertical="center"/>
      <protection locked="0"/>
    </xf>
    <xf numFmtId="164" fontId="21" fillId="0" borderId="0" xfId="48" applyFont="1" applyAlignment="1">
      <alignment horizontal="center" vertical="center"/>
    </xf>
    <xf numFmtId="3" fontId="0" fillId="0" borderId="112" xfId="0" applyNumberFormat="1" applyBorder="1" applyProtection="1">
      <protection locked="0"/>
    </xf>
    <xf numFmtId="3" fontId="0" fillId="0" borderId="70" xfId="0" applyNumberFormat="1" applyBorder="1" applyProtection="1">
      <protection locked="0"/>
    </xf>
    <xf numFmtId="0" fontId="21" fillId="24" borderId="0" xfId="0" applyFont="1" applyFill="1" applyAlignment="1">
      <alignment horizontal="center" vertical="top"/>
    </xf>
    <xf numFmtId="167" fontId="23" fillId="0" borderId="0" xfId="48" applyNumberFormat="1" applyFont="1" applyAlignment="1">
      <alignment vertical="center"/>
    </xf>
    <xf numFmtId="3" fontId="3" fillId="0" borderId="79" xfId="51" applyNumberFormat="1" applyFont="1" applyBorder="1" applyProtection="1">
      <protection locked="0"/>
    </xf>
    <xf numFmtId="3" fontId="0" fillId="0" borderId="87" xfId="0" applyNumberFormat="1" applyBorder="1" applyProtection="1">
      <protection locked="0"/>
    </xf>
    <xf numFmtId="3" fontId="3" fillId="0" borderId="49" xfId="51" applyNumberFormat="1" applyFont="1" applyBorder="1" applyProtection="1">
      <protection locked="0"/>
    </xf>
    <xf numFmtId="3" fontId="0" fillId="0" borderId="81" xfId="0" applyNumberFormat="1" applyBorder="1" applyProtection="1">
      <protection locked="0"/>
    </xf>
    <xf numFmtId="168" fontId="0" fillId="0" borderId="106" xfId="0" applyNumberFormat="1" applyBorder="1"/>
    <xf numFmtId="0" fontId="27" fillId="0" borderId="0" xfId="0" applyFont="1" applyAlignment="1">
      <alignment horizontal="left" vertical="center" wrapText="1"/>
    </xf>
    <xf numFmtId="0" fontId="6" fillId="0" borderId="36" xfId="0" applyFont="1" applyBorder="1" applyAlignment="1">
      <alignment horizontal="center" vertical="center"/>
    </xf>
    <xf numFmtId="0" fontId="6" fillId="0" borderId="36" xfId="0" applyFont="1" applyBorder="1" applyAlignment="1">
      <alignment horizontal="center" vertical="center" wrapText="1"/>
    </xf>
    <xf numFmtId="0" fontId="3" fillId="0" borderId="36" xfId="0" applyFont="1" applyBorder="1" applyAlignment="1">
      <alignment horizontal="center" vertical="center" wrapText="1"/>
    </xf>
    <xf numFmtId="0" fontId="24" fillId="0" borderId="36" xfId="0" applyFont="1" applyBorder="1" applyAlignment="1">
      <alignment horizontal="center" vertical="center" wrapText="1"/>
    </xf>
    <xf numFmtId="0" fontId="20" fillId="0" borderId="36" xfId="0" applyFont="1" applyBorder="1" applyAlignment="1">
      <alignment horizontal="center" vertical="center" wrapText="1"/>
    </xf>
    <xf numFmtId="0" fontId="84" fillId="0" borderId="36" xfId="0" applyFont="1" applyBorder="1" applyAlignment="1">
      <alignment horizontal="center" vertical="center" wrapText="1"/>
    </xf>
    <xf numFmtId="170" fontId="3" fillId="0" borderId="36" xfId="0" applyNumberFormat="1" applyFont="1" applyBorder="1" applyAlignment="1">
      <alignment horizontal="center"/>
    </xf>
    <xf numFmtId="170" fontId="3" fillId="0" borderId="36" xfId="32" applyNumberFormat="1" applyFont="1" applyBorder="1" applyAlignment="1"/>
    <xf numFmtId="169" fontId="3" fillId="0" borderId="36" xfId="0" applyNumberFormat="1" applyFont="1" applyBorder="1"/>
    <xf numFmtId="169" fontId="6" fillId="0" borderId="36" xfId="0" applyNumberFormat="1" applyFont="1" applyBorder="1"/>
    <xf numFmtId="169" fontId="85" fillId="0" borderId="36" xfId="0" applyNumberFormat="1" applyFont="1" applyBorder="1"/>
    <xf numFmtId="0" fontId="18" fillId="0" borderId="133" xfId="55" applyFont="1" applyBorder="1" applyAlignment="1">
      <alignment horizontal="centerContinuous" vertical="center"/>
    </xf>
    <xf numFmtId="3" fontId="3" fillId="0" borderId="55" xfId="55" applyNumberFormat="1" applyFont="1" applyBorder="1" applyProtection="1">
      <protection locked="0"/>
    </xf>
    <xf numFmtId="3" fontId="3" fillId="0" borderId="134" xfId="55" applyNumberFormat="1" applyFont="1" applyBorder="1" applyProtection="1">
      <protection locked="0"/>
    </xf>
    <xf numFmtId="168" fontId="3" fillId="24" borderId="124" xfId="55" applyNumberFormat="1" applyFont="1" applyFill="1" applyBorder="1"/>
    <xf numFmtId="0" fontId="18" fillId="0" borderId="135" xfId="55" applyFont="1" applyBorder="1" applyAlignment="1">
      <alignment horizontal="centerContinuous" vertical="center"/>
    </xf>
    <xf numFmtId="0" fontId="37" fillId="0" borderId="32" xfId="55" applyFont="1" applyBorder="1" applyAlignment="1">
      <alignment horizontal="center"/>
    </xf>
    <xf numFmtId="3" fontId="3" fillId="0" borderId="43" xfId="55" applyNumberFormat="1" applyFont="1" applyBorder="1" applyProtection="1">
      <protection locked="0"/>
    </xf>
    <xf numFmtId="3" fontId="3" fillId="0" borderId="113" xfId="55" applyNumberFormat="1" applyFont="1" applyBorder="1" applyProtection="1">
      <protection locked="0"/>
    </xf>
    <xf numFmtId="168" fontId="3" fillId="24" borderId="51" xfId="55" applyNumberFormat="1" applyFont="1" applyFill="1" applyBorder="1"/>
    <xf numFmtId="3" fontId="3" fillId="0" borderId="136" xfId="55" applyNumberFormat="1" applyFont="1" applyBorder="1" applyProtection="1">
      <protection locked="0"/>
    </xf>
    <xf numFmtId="0" fontId="37" fillId="0" borderId="137" xfId="55" applyFont="1" applyBorder="1" applyAlignment="1">
      <alignment horizontal="center"/>
    </xf>
    <xf numFmtId="168" fontId="3" fillId="24" borderId="127" xfId="55" applyNumberFormat="1" applyFont="1" applyFill="1" applyBorder="1"/>
    <xf numFmtId="168" fontId="3" fillId="24" borderId="138" xfId="55" applyNumberFormat="1" applyFont="1" applyFill="1" applyBorder="1"/>
    <xf numFmtId="0" fontId="10" fillId="0" borderId="19" xfId="50" applyFont="1" applyBorder="1" applyAlignment="1">
      <alignment horizontal="center" vertical="center"/>
    </xf>
    <xf numFmtId="0" fontId="10" fillId="0" borderId="19" xfId="51" applyFont="1" applyBorder="1" applyAlignment="1">
      <alignment horizontal="center" vertical="center"/>
    </xf>
    <xf numFmtId="0" fontId="19" fillId="0" borderId="83" xfId="50" applyFont="1" applyBorder="1" applyAlignment="1">
      <alignment horizontal="center"/>
    </xf>
    <xf numFmtId="0" fontId="19" fillId="0" borderId="139" xfId="50" applyFont="1" applyBorder="1" applyAlignment="1">
      <alignment horizontal="center"/>
    </xf>
    <xf numFmtId="0" fontId="19" fillId="0" borderId="140" xfId="50" applyFont="1" applyBorder="1" applyAlignment="1">
      <alignment horizontal="center"/>
    </xf>
    <xf numFmtId="0" fontId="19" fillId="0" borderId="83" xfId="51" applyFont="1" applyBorder="1" applyAlignment="1">
      <alignment horizontal="center"/>
    </xf>
    <xf numFmtId="0" fontId="19" fillId="0" borderId="139" xfId="51" applyFont="1" applyBorder="1" applyAlignment="1">
      <alignment horizontal="center"/>
    </xf>
    <xf numFmtId="0" fontId="19" fillId="0" borderId="140" xfId="51" applyFont="1" applyBorder="1" applyAlignment="1">
      <alignment horizontal="center"/>
    </xf>
    <xf numFmtId="0" fontId="0" fillId="0" borderId="0" xfId="0" applyAlignment="1">
      <alignment vertical="top"/>
    </xf>
    <xf numFmtId="164" fontId="9" fillId="0" borderId="0" xfId="48" applyFont="1" applyAlignment="1">
      <alignment vertical="center" wrapText="1"/>
    </xf>
    <xf numFmtId="0" fontId="18" fillId="0" borderId="141" xfId="0" applyFont="1" applyBorder="1" applyAlignment="1">
      <alignment horizontal="center" vertical="center" wrapText="1"/>
    </xf>
    <xf numFmtId="49" fontId="15" fillId="26" borderId="64" xfId="48" applyNumberFormat="1" applyFont="1" applyFill="1" applyBorder="1" applyAlignment="1" applyProtection="1">
      <alignment horizontal="left" vertical="center"/>
      <protection locked="0"/>
    </xf>
    <xf numFmtId="49" fontId="15" fillId="26" borderId="36" xfId="48" applyNumberFormat="1" applyFont="1" applyFill="1" applyBorder="1" applyAlignment="1" applyProtection="1">
      <alignment horizontal="left" vertical="center"/>
      <protection locked="0"/>
    </xf>
    <xf numFmtId="49" fontId="15" fillId="26" borderId="52" xfId="46" applyNumberFormat="1" applyFont="1" applyFill="1" applyBorder="1" applyAlignment="1" applyProtection="1">
      <alignment horizontal="left" vertical="center"/>
      <protection locked="0"/>
    </xf>
    <xf numFmtId="49" fontId="15" fillId="26" borderId="64" xfId="0" applyNumberFormat="1" applyFont="1" applyFill="1" applyBorder="1" applyAlignment="1" applyProtection="1">
      <alignment horizontal="left" vertical="center"/>
      <protection locked="0"/>
    </xf>
    <xf numFmtId="49" fontId="15" fillId="26" borderId="36" xfId="46" applyNumberFormat="1" applyFont="1" applyFill="1" applyBorder="1" applyAlignment="1" applyProtection="1">
      <alignment horizontal="left" vertical="center"/>
      <protection locked="0"/>
    </xf>
    <xf numFmtId="49" fontId="8" fillId="26" borderId="60" xfId="22" applyNumberFormat="1" applyFill="1" applyBorder="1" applyAlignment="1" applyProtection="1">
      <alignment horizontal="left" vertical="center"/>
      <protection locked="0"/>
    </xf>
    <xf numFmtId="49" fontId="15" fillId="26" borderId="36" xfId="0" applyNumberFormat="1" applyFont="1" applyFill="1" applyBorder="1" applyAlignment="1" applyProtection="1">
      <alignment horizontal="left"/>
      <protection locked="0"/>
    </xf>
    <xf numFmtId="0" fontId="3" fillId="0" borderId="107" xfId="55" applyFont="1" applyBorder="1" applyAlignment="1">
      <alignment horizontal="center"/>
    </xf>
    <xf numFmtId="0" fontId="11" fillId="0" borderId="36" xfId="0" applyFont="1" applyBorder="1" applyAlignment="1">
      <alignment horizontal="center" vertical="center" wrapText="1"/>
    </xf>
    <xf numFmtId="0" fontId="3" fillId="0" borderId="45" xfId="0" applyFont="1" applyBorder="1" applyAlignment="1">
      <alignment horizontal="centerContinuous" vertical="center" wrapText="1"/>
    </xf>
    <xf numFmtId="0" fontId="35" fillId="0" borderId="36" xfId="0" applyFont="1" applyBorder="1"/>
    <xf numFmtId="0" fontId="104" fillId="0" borderId="36" xfId="0" applyFont="1" applyBorder="1"/>
    <xf numFmtId="0" fontId="10" fillId="0" borderId="97" xfId="0" applyFont="1" applyBorder="1" applyAlignment="1">
      <alignment horizontal="center" vertical="center" wrapText="1"/>
    </xf>
    <xf numFmtId="0" fontId="10" fillId="0" borderId="142" xfId="0" applyFont="1" applyBorder="1" applyAlignment="1">
      <alignment horizontal="center" vertical="center" wrapText="1"/>
    </xf>
    <xf numFmtId="0" fontId="10" fillId="0" borderId="143" xfId="0" applyFont="1" applyBorder="1" applyAlignment="1">
      <alignment horizontal="center" vertical="center" wrapText="1"/>
    </xf>
    <xf numFmtId="0" fontId="10" fillId="0" borderId="144" xfId="0" applyFont="1" applyBorder="1" applyAlignment="1">
      <alignment horizontal="center" vertical="center" wrapText="1"/>
    </xf>
    <xf numFmtId="0" fontId="3" fillId="0" borderId="57" xfId="0" applyFont="1" applyBorder="1" applyAlignment="1">
      <alignment horizontal="center"/>
    </xf>
    <xf numFmtId="0" fontId="3" fillId="0" borderId="40" xfId="0" applyFont="1" applyBorder="1" applyAlignment="1">
      <alignment horizontal="justify" wrapText="1"/>
    </xf>
    <xf numFmtId="0" fontId="3" fillId="0" borderId="50" xfId="0" applyFont="1" applyBorder="1" applyAlignment="1">
      <alignment horizontal="justify" wrapText="1"/>
    </xf>
    <xf numFmtId="0" fontId="3" fillId="0" borderId="61" xfId="0" applyFont="1" applyBorder="1" applyAlignment="1">
      <alignment horizontal="justify" wrapText="1"/>
    </xf>
    <xf numFmtId="164" fontId="22" fillId="0" borderId="0" xfId="48" applyFont="1" applyAlignment="1">
      <alignment vertical="center" wrapText="1"/>
    </xf>
    <xf numFmtId="0" fontId="9" fillId="0" borderId="0" xfId="47" applyFont="1" applyAlignment="1">
      <alignment vertical="center"/>
    </xf>
    <xf numFmtId="164" fontId="9" fillId="0" borderId="0" xfId="48" applyFont="1" applyAlignment="1">
      <alignment horizontal="right" vertical="center"/>
    </xf>
    <xf numFmtId="164" fontId="81" fillId="0" borderId="0" xfId="48" applyFont="1" applyAlignment="1">
      <alignment horizontal="left" vertical="center"/>
    </xf>
    <xf numFmtId="164" fontId="81" fillId="0" borderId="0" xfId="48" applyFont="1" applyAlignment="1">
      <alignment horizontal="right" vertical="center"/>
    </xf>
    <xf numFmtId="164" fontId="81" fillId="0" borderId="0" xfId="48" applyFont="1" applyAlignment="1">
      <alignment vertical="center"/>
    </xf>
    <xf numFmtId="1" fontId="15" fillId="25" borderId="36" xfId="48" applyNumberFormat="1" applyFont="1" applyFill="1" applyBorder="1" applyAlignment="1">
      <alignment vertical="center"/>
    </xf>
    <xf numFmtId="164" fontId="58" fillId="0" borderId="78" xfId="48" applyFont="1" applyBorder="1" applyAlignment="1">
      <alignment vertical="center" wrapText="1"/>
    </xf>
    <xf numFmtId="164" fontId="89" fillId="0" borderId="78" xfId="48" applyFont="1" applyBorder="1" applyAlignment="1">
      <alignment vertical="center" wrapText="1"/>
    </xf>
    <xf numFmtId="0" fontId="10" fillId="0" borderId="62" xfId="0" applyFont="1" applyBorder="1" applyAlignment="1">
      <alignment horizontal="center" vertical="center" wrapText="1"/>
    </xf>
    <xf numFmtId="0" fontId="6" fillId="0" borderId="71" xfId="0" applyFont="1" applyBorder="1" applyAlignment="1">
      <alignment horizontal="center" wrapText="1"/>
    </xf>
    <xf numFmtId="0" fontId="6" fillId="0" borderId="105" xfId="0" applyFont="1" applyBorder="1" applyAlignment="1">
      <alignment horizontal="center" wrapText="1"/>
    </xf>
    <xf numFmtId="0" fontId="6" fillId="0" borderId="145" xfId="0" applyFont="1" applyBorder="1" applyAlignment="1">
      <alignment horizontal="center" wrapText="1"/>
    </xf>
    <xf numFmtId="164" fontId="89" fillId="0" borderId="133" xfId="48" applyFont="1" applyBorder="1" applyAlignment="1">
      <alignment vertical="center" wrapText="1"/>
    </xf>
    <xf numFmtId="3" fontId="14" fillId="0" borderId="87" xfId="51" applyNumberFormat="1" applyFont="1" applyBorder="1" applyProtection="1">
      <protection locked="0"/>
    </xf>
    <xf numFmtId="3" fontId="14" fillId="0" borderId="79" xfId="51" applyNumberFormat="1" applyFont="1" applyBorder="1" applyProtection="1">
      <protection locked="0"/>
    </xf>
    <xf numFmtId="3" fontId="14" fillId="0" borderId="125" xfId="51" applyNumberFormat="1" applyFont="1" applyBorder="1" applyProtection="1">
      <protection locked="0"/>
    </xf>
    <xf numFmtId="3" fontId="14" fillId="0" borderId="100" xfId="51" applyNumberFormat="1" applyFont="1" applyBorder="1" applyProtection="1">
      <protection locked="0"/>
    </xf>
    <xf numFmtId="3" fontId="14" fillId="0" borderId="99" xfId="51" applyNumberFormat="1" applyFont="1" applyBorder="1" applyProtection="1">
      <protection locked="0"/>
    </xf>
    <xf numFmtId="3" fontId="14" fillId="0" borderId="81" xfId="51" applyNumberFormat="1" applyFont="1" applyBorder="1" applyProtection="1">
      <protection locked="0"/>
    </xf>
    <xf numFmtId="3" fontId="14" fillId="0" borderId="77" xfId="51" applyNumberFormat="1" applyFont="1" applyBorder="1" applyProtection="1">
      <protection locked="0"/>
    </xf>
    <xf numFmtId="3" fontId="14" fillId="0" borderId="134" xfId="51" applyNumberFormat="1" applyFont="1" applyBorder="1" applyProtection="1">
      <protection locked="0"/>
    </xf>
    <xf numFmtId="3" fontId="14" fillId="0" borderId="60" xfId="51" applyNumberFormat="1" applyFont="1" applyBorder="1" applyProtection="1">
      <protection locked="0"/>
    </xf>
    <xf numFmtId="3" fontId="14" fillId="0" borderId="64" xfId="51" applyNumberFormat="1" applyFont="1" applyBorder="1" applyProtection="1">
      <protection locked="0"/>
    </xf>
    <xf numFmtId="3" fontId="3" fillId="0" borderId="87" xfId="0" applyNumberFormat="1" applyFont="1" applyBorder="1" applyProtection="1">
      <protection locked="0"/>
    </xf>
    <xf numFmtId="3" fontId="3" fillId="0" borderId="79" xfId="0" applyNumberFormat="1" applyFont="1" applyBorder="1" applyProtection="1">
      <protection locked="0"/>
    </xf>
    <xf numFmtId="3" fontId="3" fillId="0" borderId="111" xfId="0" applyNumberFormat="1" applyFont="1" applyBorder="1" applyProtection="1">
      <protection locked="0"/>
    </xf>
    <xf numFmtId="3" fontId="3" fillId="0" borderId="36" xfId="0" applyNumberFormat="1" applyFont="1" applyBorder="1" applyAlignment="1">
      <alignment horizontal="center"/>
    </xf>
    <xf numFmtId="3" fontId="3" fillId="0" borderId="57" xfId="0" applyNumberFormat="1" applyFont="1" applyBorder="1" applyAlignment="1">
      <alignment horizontal="center"/>
    </xf>
    <xf numFmtId="3" fontId="14" fillId="0" borderId="36" xfId="32" applyNumberFormat="1" applyFont="1" applyBorder="1" applyAlignment="1"/>
    <xf numFmtId="0" fontId="105" fillId="0" borderId="0" xfId="0" applyFont="1" applyAlignment="1">
      <alignment horizontal="left" vertical="top"/>
    </xf>
    <xf numFmtId="0" fontId="13" fillId="0" borderId="52" xfId="0" applyFont="1" applyBorder="1" applyAlignment="1">
      <alignment horizontal="center"/>
    </xf>
    <xf numFmtId="0" fontId="3" fillId="0" borderId="52" xfId="0" applyFont="1" applyBorder="1" applyAlignment="1">
      <alignment horizontal="left"/>
    </xf>
    <xf numFmtId="0" fontId="13" fillId="0" borderId="52" xfId="0" applyFont="1" applyBorder="1" applyAlignment="1">
      <alignment horizontal="left"/>
    </xf>
    <xf numFmtId="0" fontId="13" fillId="0" borderId="36" xfId="0" applyFont="1" applyBorder="1" applyAlignment="1">
      <alignment horizontal="left"/>
    </xf>
    <xf numFmtId="164" fontId="9" fillId="0" borderId="132" xfId="48" applyFont="1" applyBorder="1" applyAlignment="1">
      <alignment vertical="center" wrapText="1"/>
    </xf>
    <xf numFmtId="0" fontId="3" fillId="0" borderId="0" xfId="46" applyFont="1" applyAlignment="1">
      <alignment vertical="center"/>
    </xf>
    <xf numFmtId="0" fontId="3" fillId="0" borderId="0" xfId="0" applyFont="1" applyAlignment="1">
      <alignment horizontal="center" vertical="top"/>
    </xf>
    <xf numFmtId="0" fontId="2" fillId="0" borderId="0" xfId="0" applyFont="1" applyAlignment="1">
      <alignment horizontal="right" vertical="top"/>
    </xf>
    <xf numFmtId="0" fontId="3" fillId="27" borderId="38" xfId="0" applyFont="1" applyFill="1" applyBorder="1"/>
    <xf numFmtId="0" fontId="3" fillId="27" borderId="37" xfId="0" applyFont="1" applyFill="1" applyBorder="1"/>
    <xf numFmtId="0" fontId="6" fillId="27" borderId="146" xfId="0" applyFont="1" applyFill="1" applyBorder="1" applyAlignment="1">
      <alignment horizontal="centerContinuous" vertical="center" wrapText="1"/>
    </xf>
    <xf numFmtId="0" fontId="6" fillId="27" borderId="45" xfId="0" applyFont="1" applyFill="1" applyBorder="1" applyAlignment="1">
      <alignment horizontal="centerContinuous" vertical="center" wrapText="1"/>
    </xf>
    <xf numFmtId="0" fontId="19" fillId="0" borderId="0" xfId="0" applyFont="1" applyAlignment="1">
      <alignment horizontal="center" vertical="top"/>
    </xf>
    <xf numFmtId="0" fontId="19" fillId="27" borderId="19" xfId="0" applyFont="1" applyFill="1" applyBorder="1" applyAlignment="1">
      <alignment horizontal="center"/>
    </xf>
    <xf numFmtId="0" fontId="19" fillId="27" borderId="41" xfId="0" applyFont="1" applyFill="1" applyBorder="1" applyAlignment="1">
      <alignment horizontal="center"/>
    </xf>
    <xf numFmtId="0" fontId="106" fillId="0" borderId="0" xfId="0" applyFont="1" applyAlignment="1">
      <alignment horizontal="center" vertical="center"/>
    </xf>
    <xf numFmtId="168" fontId="3" fillId="27" borderId="119" xfId="0" applyNumberFormat="1" applyFont="1" applyFill="1" applyBorder="1"/>
    <xf numFmtId="168" fontId="3" fillId="27" borderId="123" xfId="0" applyNumberFormat="1" applyFont="1" applyFill="1" applyBorder="1"/>
    <xf numFmtId="168" fontId="3" fillId="27" borderId="50" xfId="0" applyNumberFormat="1" applyFont="1" applyFill="1" applyBorder="1"/>
    <xf numFmtId="168" fontId="3" fillId="27" borderId="71" xfId="0" applyNumberFormat="1" applyFont="1" applyFill="1" applyBorder="1"/>
    <xf numFmtId="168" fontId="3" fillId="27" borderId="73" xfId="0" applyNumberFormat="1" applyFont="1" applyFill="1" applyBorder="1"/>
    <xf numFmtId="168" fontId="3" fillId="27" borderId="75" xfId="0" applyNumberFormat="1" applyFont="1" applyFill="1" applyBorder="1"/>
    <xf numFmtId="164" fontId="5" fillId="0" borderId="0" xfId="48" applyFont="1" applyAlignment="1">
      <alignment vertical="center"/>
    </xf>
    <xf numFmtId="164" fontId="15" fillId="0" borderId="0" xfId="48" applyFont="1" applyAlignment="1">
      <alignment vertical="center"/>
    </xf>
    <xf numFmtId="164" fontId="3" fillId="0" borderId="78" xfId="48" applyFont="1" applyBorder="1" applyAlignment="1">
      <alignment vertical="center"/>
    </xf>
    <xf numFmtId="49" fontId="15" fillId="0" borderId="36" xfId="48" applyNumberFormat="1" applyFont="1" applyBorder="1" applyAlignment="1" applyProtection="1">
      <alignment horizontal="left" vertical="center"/>
      <protection locked="0"/>
    </xf>
    <xf numFmtId="49" fontId="8" fillId="0" borderId="60" xfId="22" applyNumberFormat="1" applyFill="1" applyBorder="1" applyAlignment="1" applyProtection="1">
      <alignment horizontal="left" vertical="center"/>
      <protection locked="0"/>
    </xf>
    <xf numFmtId="49" fontId="15" fillId="0" borderId="36" xfId="0" applyNumberFormat="1" applyFont="1" applyBorder="1" applyAlignment="1" applyProtection="1">
      <alignment horizontal="left"/>
      <protection locked="0"/>
    </xf>
    <xf numFmtId="164" fontId="15" fillId="0" borderId="0" xfId="48" applyFont="1" applyAlignment="1">
      <alignment horizontal="left" vertical="center"/>
    </xf>
    <xf numFmtId="0" fontId="22" fillId="0" borderId="0" xfId="0" applyFont="1" applyAlignment="1">
      <alignment wrapText="1"/>
    </xf>
    <xf numFmtId="0" fontId="15" fillId="0" borderId="119" xfId="0" applyFont="1" applyBorder="1" applyAlignment="1">
      <alignment horizontal="left" vertical="center" wrapText="1"/>
    </xf>
    <xf numFmtId="3" fontId="3" fillId="24" borderId="120" xfId="0" applyNumberFormat="1" applyFont="1" applyFill="1" applyBorder="1" applyAlignment="1">
      <alignment horizontal="center" vertical="center"/>
    </xf>
    <xf numFmtId="0" fontId="15" fillId="0" borderId="50" xfId="0" applyFont="1" applyBorder="1" applyAlignment="1">
      <alignment horizontal="left" vertical="center" wrapText="1"/>
    </xf>
    <xf numFmtId="3" fontId="3" fillId="24" borderId="36" xfId="0" applyNumberFormat="1" applyFont="1" applyFill="1" applyBorder="1" applyAlignment="1">
      <alignment horizontal="center" vertical="center"/>
    </xf>
    <xf numFmtId="0" fontId="15" fillId="0" borderId="61" xfId="0" applyFont="1" applyBorder="1" applyAlignment="1">
      <alignment horizontal="left" vertical="center" wrapText="1"/>
    </xf>
    <xf numFmtId="3" fontId="3" fillId="24" borderId="53" xfId="0" applyNumberFormat="1" applyFont="1" applyFill="1" applyBorder="1" applyAlignment="1">
      <alignment horizontal="center" vertical="center"/>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0" fontId="10" fillId="0" borderId="75" xfId="0" applyFont="1" applyBorder="1" applyAlignment="1">
      <alignment horizontal="center" vertical="center" wrapText="1"/>
    </xf>
    <xf numFmtId="0" fontId="3" fillId="0" borderId="17" xfId="0" applyFont="1" applyBorder="1" applyAlignment="1">
      <alignment horizontal="left" vertical="center" wrapText="1"/>
    </xf>
    <xf numFmtId="3" fontId="3" fillId="24" borderId="52" xfId="0" applyNumberFormat="1" applyFont="1" applyFill="1" applyBorder="1" applyAlignment="1">
      <alignment horizontal="center" vertical="center"/>
    </xf>
    <xf numFmtId="3" fontId="3" fillId="0" borderId="52" xfId="0" applyNumberFormat="1" applyFont="1" applyBorder="1" applyAlignment="1">
      <alignment horizontal="center" vertical="center"/>
    </xf>
    <xf numFmtId="0" fontId="3" fillId="0" borderId="61" xfId="0" applyFont="1" applyBorder="1" applyAlignment="1">
      <alignment horizontal="left" vertical="center" wrapText="1"/>
    </xf>
    <xf numFmtId="3" fontId="3" fillId="0" borderId="53" xfId="0" applyNumberFormat="1" applyFont="1" applyBorder="1" applyAlignment="1">
      <alignment horizontal="center" vertical="center"/>
    </xf>
    <xf numFmtId="0" fontId="24" fillId="0" borderId="0" xfId="0" applyFont="1"/>
    <xf numFmtId="3" fontId="15" fillId="0" borderId="36" xfId="0" applyNumberFormat="1" applyFont="1" applyBorder="1" applyAlignment="1">
      <alignment vertical="center"/>
    </xf>
    <xf numFmtId="4" fontId="3" fillId="0" borderId="50" xfId="0" applyNumberFormat="1" applyFont="1" applyBorder="1" applyAlignment="1">
      <alignment horizontal="justify"/>
    </xf>
    <xf numFmtId="3" fontId="15" fillId="0" borderId="36" xfId="0" applyNumberFormat="1" applyFont="1" applyBorder="1" applyAlignment="1">
      <alignment horizontal="right" vertical="center"/>
    </xf>
    <xf numFmtId="0" fontId="3" fillId="0" borderId="50" xfId="0" applyFont="1" applyBorder="1" applyAlignment="1">
      <alignment horizontal="justify"/>
    </xf>
    <xf numFmtId="3" fontId="15" fillId="0" borderId="53" xfId="0" applyNumberFormat="1" applyFont="1" applyBorder="1" applyAlignment="1">
      <alignment vertical="center"/>
    </xf>
    <xf numFmtId="0" fontId="22" fillId="0" borderId="73" xfId="0" applyFont="1" applyBorder="1" applyAlignment="1">
      <alignment horizontal="center" vertical="center" wrapText="1"/>
    </xf>
    <xf numFmtId="3" fontId="22" fillId="0" borderId="74" xfId="0" applyNumberFormat="1" applyFont="1" applyBorder="1" applyAlignment="1">
      <alignment vertical="center"/>
    </xf>
    <xf numFmtId="0" fontId="0" fillId="0" borderId="120" xfId="0" applyBorder="1"/>
    <xf numFmtId="0" fontId="0" fillId="0" borderId="123" xfId="0" applyBorder="1"/>
    <xf numFmtId="0" fontId="3" fillId="0" borderId="36" xfId="0" applyFont="1" applyBorder="1" applyAlignment="1">
      <alignment horizontal="justify" vertical="center" wrapText="1"/>
    </xf>
    <xf numFmtId="0" fontId="9" fillId="28" borderId="75" xfId="0" applyFont="1" applyFill="1" applyBorder="1" applyAlignment="1">
      <alignment horizontal="center" vertical="center"/>
    </xf>
    <xf numFmtId="0" fontId="90" fillId="0" borderId="0" xfId="0" applyFont="1"/>
    <xf numFmtId="1" fontId="0" fillId="0" borderId="0" xfId="0" applyNumberFormat="1"/>
    <xf numFmtId="0" fontId="6" fillId="0" borderId="0" xfId="0" applyFont="1" applyAlignment="1">
      <alignment horizontal="right" vertical="center"/>
    </xf>
    <xf numFmtId="168" fontId="3" fillId="0" borderId="0" xfId="0" applyNumberFormat="1" applyFont="1"/>
    <xf numFmtId="0" fontId="6" fillId="0" borderId="0" xfId="0" applyFont="1"/>
    <xf numFmtId="0" fontId="107" fillId="0" borderId="0" xfId="0" applyFont="1"/>
    <xf numFmtId="0" fontId="55" fillId="0" borderId="0" xfId="0" applyFont="1" applyAlignment="1">
      <alignment horizontal="center" vertical="center" wrapText="1"/>
    </xf>
    <xf numFmtId="3" fontId="3" fillId="0" borderId="87" xfId="51" applyNumberFormat="1" applyFont="1" applyBorder="1" applyProtection="1">
      <protection locked="0"/>
    </xf>
    <xf numFmtId="3" fontId="3" fillId="0" borderId="125" xfId="51" applyNumberFormat="1" applyFont="1" applyBorder="1" applyProtection="1">
      <protection locked="0"/>
    </xf>
    <xf numFmtId="3" fontId="3" fillId="0" borderId="81" xfId="51" applyNumberFormat="1" applyFont="1" applyBorder="1" applyProtection="1">
      <protection locked="0"/>
    </xf>
    <xf numFmtId="3" fontId="3" fillId="0" borderId="77" xfId="51" applyNumberFormat="1" applyFont="1" applyBorder="1" applyProtection="1">
      <protection locked="0"/>
    </xf>
    <xf numFmtId="3" fontId="3" fillId="0" borderId="134" xfId="51" applyNumberFormat="1" applyFont="1" applyBorder="1" applyProtection="1">
      <protection locked="0"/>
    </xf>
    <xf numFmtId="168" fontId="3" fillId="24" borderId="114" xfId="51" applyNumberFormat="1" applyFont="1" applyFill="1" applyBorder="1"/>
    <xf numFmtId="168" fontId="3" fillId="24" borderId="107" xfId="51" applyNumberFormat="1" applyFont="1" applyFill="1" applyBorder="1"/>
    <xf numFmtId="0" fontId="3" fillId="0" borderId="39" xfId="0" applyFont="1" applyBorder="1" applyAlignment="1">
      <alignment horizontal="justify"/>
    </xf>
    <xf numFmtId="0" fontId="15" fillId="0" borderId="52" xfId="0" applyFont="1" applyBorder="1" applyAlignment="1">
      <alignment horizontal="center"/>
    </xf>
    <xf numFmtId="0" fontId="0" fillId="0" borderId="0" xfId="0" applyAlignment="1">
      <alignment horizontal="left"/>
    </xf>
    <xf numFmtId="0" fontId="92" fillId="0" borderId="0" xfId="0" applyFont="1" applyAlignment="1">
      <alignment wrapText="1"/>
    </xf>
    <xf numFmtId="0" fontId="0" fillId="0" borderId="0" xfId="0" applyAlignment="1" applyProtection="1">
      <alignment horizontal="left"/>
      <protection locked="0"/>
    </xf>
    <xf numFmtId="0" fontId="55" fillId="0" borderId="0" xfId="0" applyFont="1" applyAlignment="1">
      <alignment horizontal="center"/>
    </xf>
    <xf numFmtId="0" fontId="18" fillId="0" borderId="26" xfId="0" applyFont="1" applyBorder="1" applyAlignment="1">
      <alignment horizontal="center" vertical="center" wrapText="1"/>
    </xf>
    <xf numFmtId="40" fontId="3" fillId="24" borderId="120" xfId="32" applyFont="1" applyFill="1" applyBorder="1" applyAlignment="1">
      <alignment horizontal="center"/>
    </xf>
    <xf numFmtId="40" fontId="3" fillId="24" borderId="36" xfId="32" applyFont="1" applyFill="1" applyBorder="1" applyAlignment="1">
      <alignment horizontal="center"/>
    </xf>
    <xf numFmtId="40" fontId="3" fillId="24" borderId="53" xfId="32" applyFont="1" applyFill="1" applyBorder="1" applyAlignment="1">
      <alignment horizontal="center"/>
    </xf>
    <xf numFmtId="0" fontId="3" fillId="0" borderId="19" xfId="0" applyFont="1" applyBorder="1" applyAlignment="1">
      <alignment horizontal="justify"/>
    </xf>
    <xf numFmtId="164" fontId="3" fillId="0" borderId="0" xfId="48" applyFont="1" applyAlignment="1">
      <alignment vertical="center"/>
    </xf>
    <xf numFmtId="164" fontId="5" fillId="0" borderId="36" xfId="48" applyFont="1" applyBorder="1" applyAlignment="1">
      <alignment horizontal="center" vertical="center"/>
    </xf>
    <xf numFmtId="1" fontId="15" fillId="26" borderId="36" xfId="48" applyNumberFormat="1" applyFont="1" applyFill="1" applyBorder="1" applyAlignment="1" applyProtection="1">
      <alignment vertical="center"/>
      <protection locked="0"/>
    </xf>
    <xf numFmtId="38" fontId="15" fillId="26" borderId="36" xfId="32" applyNumberFormat="1" applyFont="1" applyFill="1" applyBorder="1" applyAlignment="1" applyProtection="1">
      <alignment vertical="center"/>
      <protection locked="0"/>
    </xf>
    <xf numFmtId="3" fontId="15" fillId="0" borderId="36" xfId="0" applyNumberFormat="1" applyFont="1" applyBorder="1" applyProtection="1">
      <protection locked="0"/>
    </xf>
    <xf numFmtId="3" fontId="15" fillId="0" borderId="53" xfId="0" applyNumberFormat="1" applyFont="1" applyBorder="1" applyProtection="1">
      <protection locked="0"/>
    </xf>
    <xf numFmtId="0" fontId="15" fillId="0" borderId="72" xfId="0" applyFont="1" applyBorder="1" applyAlignment="1" applyProtection="1">
      <alignment wrapText="1"/>
      <protection locked="0"/>
    </xf>
    <xf numFmtId="168" fontId="3" fillId="24" borderId="66" xfId="0" applyNumberFormat="1" applyFont="1" applyFill="1" applyBorder="1" applyProtection="1">
      <protection locked="0"/>
    </xf>
    <xf numFmtId="168" fontId="3" fillId="24" borderId="49" xfId="0" applyNumberFormat="1" applyFont="1" applyFill="1" applyBorder="1" applyProtection="1">
      <protection locked="0"/>
    </xf>
    <xf numFmtId="168" fontId="3" fillId="0" borderId="66" xfId="0" applyNumberFormat="1" applyFont="1" applyBorder="1" applyProtection="1">
      <protection locked="0"/>
    </xf>
    <xf numFmtId="168" fontId="3" fillId="0" borderId="49" xfId="0" applyNumberFormat="1" applyFont="1" applyBorder="1" applyProtection="1">
      <protection locked="0"/>
    </xf>
    <xf numFmtId="168" fontId="3" fillId="0" borderId="87" xfId="55" applyNumberFormat="1" applyFont="1" applyBorder="1" applyProtection="1">
      <protection locked="0"/>
    </xf>
    <xf numFmtId="168" fontId="3" fillId="0" borderId="79" xfId="55" applyNumberFormat="1" applyFont="1" applyBorder="1" applyProtection="1">
      <protection locked="0"/>
    </xf>
    <xf numFmtId="168" fontId="3" fillId="0" borderId="136" xfId="55" applyNumberFormat="1" applyFont="1" applyBorder="1" applyProtection="1">
      <protection locked="0"/>
    </xf>
    <xf numFmtId="168" fontId="3" fillId="0" borderId="43" xfId="55" applyNumberFormat="1" applyFont="1" applyBorder="1" applyProtection="1">
      <protection locked="0"/>
    </xf>
    <xf numFmtId="168" fontId="3" fillId="0" borderId="55" xfId="55" applyNumberFormat="1" applyFont="1" applyBorder="1" applyProtection="1">
      <protection locked="0"/>
    </xf>
    <xf numFmtId="168" fontId="3" fillId="0" borderId="81" xfId="55" applyNumberFormat="1" applyFont="1" applyBorder="1" applyProtection="1">
      <protection locked="0"/>
    </xf>
    <xf numFmtId="168" fontId="3" fillId="0" borderId="77" xfId="55" applyNumberFormat="1" applyFont="1" applyBorder="1" applyProtection="1">
      <protection locked="0"/>
    </xf>
    <xf numFmtId="168" fontId="3" fillId="0" borderId="113" xfId="55" applyNumberFormat="1" applyFont="1" applyBorder="1" applyProtection="1">
      <protection locked="0"/>
    </xf>
    <xf numFmtId="168" fontId="3" fillId="0" borderId="134" xfId="55" applyNumberFormat="1" applyFont="1" applyBorder="1" applyProtection="1">
      <protection locked="0"/>
    </xf>
    <xf numFmtId="168" fontId="3" fillId="0" borderId="67" xfId="0" applyNumberFormat="1" applyFont="1" applyBorder="1" applyProtection="1">
      <protection locked="0"/>
    </xf>
    <xf numFmtId="168" fontId="3" fillId="0" borderId="111" xfId="0" applyNumberFormat="1" applyFont="1" applyBorder="1" applyProtection="1">
      <protection locked="0"/>
    </xf>
    <xf numFmtId="168" fontId="3" fillId="0" borderId="68" xfId="0" applyNumberFormat="1" applyFont="1" applyBorder="1" applyProtection="1">
      <protection locked="0"/>
    </xf>
    <xf numFmtId="0" fontId="6" fillId="0" borderId="102" xfId="0" applyFont="1" applyBorder="1" applyAlignment="1">
      <alignment horizontal="center" vertical="center"/>
    </xf>
    <xf numFmtId="168" fontId="23" fillId="0" borderId="78" xfId="0" applyNumberFormat="1" applyFont="1" applyBorder="1" applyAlignment="1">
      <alignment horizontal="center"/>
    </xf>
    <xf numFmtId="168" fontId="23" fillId="0" borderId="0" xfId="0" applyNumberFormat="1" applyFont="1" applyAlignment="1">
      <alignment horizontal="center"/>
    </xf>
    <xf numFmtId="168" fontId="23" fillId="0" borderId="133" xfId="0" applyNumberFormat="1" applyFont="1" applyBorder="1" applyAlignment="1">
      <alignment horizontal="center"/>
    </xf>
    <xf numFmtId="168" fontId="15" fillId="0" borderId="78" xfId="0" applyNumberFormat="1" applyFont="1" applyBorder="1" applyAlignment="1">
      <alignment horizontal="center"/>
    </xf>
    <xf numFmtId="168" fontId="23" fillId="0" borderId="64" xfId="0" applyNumberFormat="1" applyFont="1" applyBorder="1" applyAlignment="1">
      <alignment horizontal="center"/>
    </xf>
    <xf numFmtId="168" fontId="23" fillId="0" borderId="59" xfId="0" applyNumberFormat="1" applyFont="1" applyBorder="1" applyAlignment="1">
      <alignment horizontal="center"/>
    </xf>
    <xf numFmtId="168" fontId="23" fillId="0" borderId="134" xfId="0" applyNumberFormat="1" applyFont="1" applyBorder="1" applyAlignment="1">
      <alignment horizontal="center"/>
    </xf>
    <xf numFmtId="168" fontId="23" fillId="0" borderId="147" xfId="0" applyNumberFormat="1" applyFont="1" applyBorder="1" applyAlignment="1">
      <alignment horizontal="center"/>
    </xf>
    <xf numFmtId="0" fontId="7" fillId="0" borderId="0" xfId="0" applyFont="1" applyAlignment="1">
      <alignment vertical="top"/>
    </xf>
    <xf numFmtId="0" fontId="2" fillId="0" borderId="0" xfId="0" applyFont="1" applyAlignment="1">
      <alignment wrapText="1"/>
    </xf>
    <xf numFmtId="0" fontId="2" fillId="0" borderId="0" xfId="0" applyFont="1"/>
    <xf numFmtId="0" fontId="22" fillId="0" borderId="19" xfId="0" applyFont="1" applyBorder="1" applyAlignment="1">
      <alignment horizontal="left" wrapText="1"/>
    </xf>
    <xf numFmtId="0" fontId="22" fillId="0" borderId="0" xfId="0" applyFont="1" applyAlignment="1">
      <alignment horizontal="left" wrapText="1"/>
    </xf>
    <xf numFmtId="0" fontId="22" fillId="0" borderId="41" xfId="0" applyFont="1" applyBorder="1" applyAlignment="1">
      <alignment horizontal="left" wrapText="1"/>
    </xf>
    <xf numFmtId="0" fontId="14" fillId="0" borderId="50" xfId="0" applyFont="1" applyBorder="1" applyAlignment="1">
      <alignment horizontal="left" wrapText="1"/>
    </xf>
    <xf numFmtId="0" fontId="6" fillId="0" borderId="123" xfId="0" applyFont="1" applyBorder="1" applyAlignment="1">
      <alignment horizontal="center" vertical="center" wrapText="1"/>
    </xf>
    <xf numFmtId="0" fontId="6" fillId="0" borderId="71" xfId="0" applyFont="1" applyBorder="1" applyAlignment="1">
      <alignment horizontal="center" vertical="center" wrapText="1"/>
    </xf>
    <xf numFmtId="0" fontId="6" fillId="0" borderId="145" xfId="0" applyFont="1" applyBorder="1" applyAlignment="1">
      <alignment horizontal="center" vertical="center" wrapText="1"/>
    </xf>
    <xf numFmtId="0" fontId="6" fillId="0" borderId="91" xfId="0" applyFont="1" applyBorder="1" applyAlignment="1">
      <alignment horizontal="center" vertical="center" wrapText="1"/>
    </xf>
    <xf numFmtId="0" fontId="3" fillId="0" borderId="116" xfId="0" applyFont="1" applyBorder="1"/>
    <xf numFmtId="0" fontId="2" fillId="0" borderId="116" xfId="0" applyFont="1" applyBorder="1" applyAlignment="1">
      <alignment vertical="top" wrapText="1"/>
    </xf>
    <xf numFmtId="0" fontId="2" fillId="0" borderId="116" xfId="0" applyFont="1" applyBorder="1"/>
    <xf numFmtId="38" fontId="3" fillId="0" borderId="36" xfId="32" applyNumberFormat="1" applyFont="1" applyBorder="1" applyAlignment="1"/>
    <xf numFmtId="1" fontId="15" fillId="29" borderId="0" xfId="48" applyNumberFormat="1" applyFont="1" applyFill="1" applyAlignment="1">
      <alignment vertical="center"/>
    </xf>
    <xf numFmtId="164" fontId="108" fillId="0" borderId="0" xfId="48" applyFont="1" applyAlignment="1">
      <alignment vertical="center"/>
    </xf>
    <xf numFmtId="0" fontId="109" fillId="0" borderId="0" xfId="0" applyFont="1"/>
    <xf numFmtId="164" fontId="110" fillId="0" borderId="0" xfId="48" applyFont="1" applyAlignment="1">
      <alignment vertical="center"/>
    </xf>
    <xf numFmtId="164" fontId="108" fillId="0" borderId="0" xfId="48" applyFont="1" applyAlignment="1">
      <alignment horizontal="center" vertical="center"/>
    </xf>
    <xf numFmtId="2" fontId="3" fillId="0" borderId="36" xfId="32" applyNumberFormat="1" applyFont="1" applyBorder="1" applyAlignment="1"/>
    <xf numFmtId="0" fontId="3" fillId="0" borderId="42" xfId="0" applyFont="1" applyBorder="1" applyAlignment="1">
      <alignment horizontal="centerContinuous" vertical="center" wrapText="1"/>
    </xf>
    <xf numFmtId="0" fontId="3" fillId="0" borderId="43" xfId="0" applyFont="1" applyBorder="1" applyAlignment="1">
      <alignment horizontal="center" vertical="center" wrapText="1"/>
    </xf>
    <xf numFmtId="168" fontId="3" fillId="24" borderId="148" xfId="0" applyNumberFormat="1" applyFont="1" applyFill="1" applyBorder="1"/>
    <xf numFmtId="168" fontId="3" fillId="24" borderId="93" xfId="0" applyNumberFormat="1" applyFont="1" applyFill="1" applyBorder="1"/>
    <xf numFmtId="0" fontId="13" fillId="0" borderId="66" xfId="0" applyFont="1" applyBorder="1" applyAlignment="1">
      <alignment horizontal="centerContinuous" vertical="center" wrapText="1"/>
    </xf>
    <xf numFmtId="0" fontId="13" fillId="0" borderId="82" xfId="0" applyFont="1" applyBorder="1" applyAlignment="1">
      <alignment horizontal="centerContinuous" vertical="center"/>
    </xf>
    <xf numFmtId="0" fontId="13" fillId="0" borderId="66" xfId="0" applyFont="1" applyBorder="1" applyAlignment="1">
      <alignment horizontal="centerContinuous" vertical="center"/>
    </xf>
    <xf numFmtId="167" fontId="0" fillId="24" borderId="0" xfId="0" applyNumberFormat="1" applyFill="1"/>
    <xf numFmtId="0" fontId="95" fillId="24" borderId="0" xfId="0" applyFont="1" applyFill="1" applyAlignment="1">
      <alignment horizontal="center"/>
    </xf>
    <xf numFmtId="1" fontId="0" fillId="24" borderId="0" xfId="0" applyNumberFormat="1" applyFill="1"/>
    <xf numFmtId="0" fontId="96" fillId="24" borderId="0" xfId="0" applyFont="1" applyFill="1" applyAlignment="1">
      <alignment horizontal="center"/>
    </xf>
    <xf numFmtId="0" fontId="97" fillId="24" borderId="0" xfId="0" applyFont="1" applyFill="1"/>
    <xf numFmtId="0" fontId="27" fillId="24" borderId="81" xfId="0" applyFont="1" applyFill="1" applyBorder="1" applyAlignment="1">
      <alignment horizontal="center" wrapText="1"/>
    </xf>
    <xf numFmtId="0" fontId="27" fillId="24" borderId="36" xfId="0" applyFont="1" applyFill="1" applyBorder="1" applyAlignment="1">
      <alignment horizontal="center" wrapText="1"/>
    </xf>
    <xf numFmtId="0" fontId="27" fillId="24" borderId="36" xfId="0" applyFont="1" applyFill="1" applyBorder="1" applyAlignment="1">
      <alignment horizontal="center"/>
    </xf>
    <xf numFmtId="0" fontId="27" fillId="24" borderId="77" xfId="0" applyFont="1" applyFill="1" applyBorder="1" applyAlignment="1">
      <alignment horizontal="center"/>
    </xf>
    <xf numFmtId="3" fontId="4" fillId="24" borderId="81" xfId="0" applyNumberFormat="1" applyFont="1" applyFill="1" applyBorder="1" applyAlignment="1" applyProtection="1">
      <alignment wrapText="1"/>
      <protection locked="0"/>
    </xf>
    <xf numFmtId="3" fontId="4" fillId="24" borderId="36" xfId="0" applyNumberFormat="1" applyFont="1" applyFill="1" applyBorder="1" applyAlignment="1" applyProtection="1">
      <alignment wrapText="1"/>
      <protection locked="0"/>
    </xf>
    <xf numFmtId="3" fontId="4" fillId="24" borderId="36" xfId="0" applyNumberFormat="1" applyFont="1" applyFill="1" applyBorder="1" applyProtection="1">
      <protection locked="0"/>
    </xf>
    <xf numFmtId="3" fontId="4" fillId="24" borderId="77" xfId="0" applyNumberFormat="1" applyFont="1" applyFill="1" applyBorder="1" applyProtection="1">
      <protection locked="0"/>
    </xf>
    <xf numFmtId="3" fontId="4" fillId="24" borderId="81" xfId="0" applyNumberFormat="1" applyFont="1" applyFill="1" applyBorder="1" applyProtection="1">
      <protection locked="0"/>
    </xf>
    <xf numFmtId="0" fontId="4" fillId="24" borderId="64" xfId="0" applyFont="1" applyFill="1" applyBorder="1" applyAlignment="1">
      <alignment horizontal="left"/>
    </xf>
    <xf numFmtId="3" fontId="4" fillId="24" borderId="81" xfId="0" applyNumberFormat="1" applyFont="1" applyFill="1" applyBorder="1" applyAlignment="1" applyProtection="1">
      <alignment horizontal="right"/>
      <protection locked="0"/>
    </xf>
    <xf numFmtId="0" fontId="27" fillId="24" borderId="59" xfId="0" applyFont="1" applyFill="1" applyBorder="1" applyAlignment="1">
      <alignment horizontal="right"/>
    </xf>
    <xf numFmtId="168" fontId="4" fillId="24" borderId="66" xfId="0" applyNumberFormat="1" applyFont="1" applyFill="1" applyBorder="1" applyAlignment="1">
      <alignment horizontal="right"/>
    </xf>
    <xf numFmtId="168" fontId="4" fillId="24" borderId="36" xfId="0" applyNumberFormat="1" applyFont="1" applyFill="1" applyBorder="1" applyAlignment="1">
      <alignment horizontal="right"/>
    </xf>
    <xf numFmtId="168" fontId="4" fillId="24" borderId="80" xfId="0" applyNumberFormat="1" applyFont="1" applyFill="1" applyBorder="1" applyAlignment="1">
      <alignment horizontal="right"/>
    </xf>
    <xf numFmtId="168" fontId="4" fillId="24" borderId="111" xfId="0" applyNumberFormat="1" applyFont="1" applyFill="1" applyBorder="1" applyAlignment="1">
      <alignment horizontal="right"/>
    </xf>
    <xf numFmtId="168" fontId="4" fillId="24" borderId="52" xfId="0" applyNumberFormat="1" applyFont="1" applyFill="1" applyBorder="1" applyAlignment="1">
      <alignment horizontal="right"/>
    </xf>
    <xf numFmtId="168" fontId="4" fillId="24" borderId="49" xfId="0" applyNumberFormat="1" applyFont="1" applyFill="1" applyBorder="1" applyAlignment="1">
      <alignment horizontal="right"/>
    </xf>
    <xf numFmtId="0" fontId="98" fillId="24" borderId="0" xfId="0" applyFont="1" applyFill="1" applyAlignment="1">
      <alignment horizontal="right"/>
    </xf>
    <xf numFmtId="0" fontId="88" fillId="24" borderId="0" xfId="0" applyFont="1" applyFill="1"/>
    <xf numFmtId="164" fontId="111" fillId="0" borderId="0" xfId="48" applyFont="1" applyAlignment="1">
      <alignment vertical="center"/>
    </xf>
    <xf numFmtId="164" fontId="112" fillId="0" borderId="0" xfId="48" applyFont="1" applyAlignment="1">
      <alignment vertical="center"/>
    </xf>
    <xf numFmtId="0" fontId="3" fillId="30" borderId="144" xfId="0" applyFont="1" applyFill="1" applyBorder="1"/>
    <xf numFmtId="0" fontId="106" fillId="29" borderId="0" xfId="0" applyFont="1" applyFill="1" applyAlignment="1">
      <alignment horizontal="center" wrapText="1"/>
    </xf>
    <xf numFmtId="0" fontId="113" fillId="0" borderId="78" xfId="0" applyFont="1" applyBorder="1" applyAlignment="1">
      <alignment horizontal="center"/>
    </xf>
    <xf numFmtId="0" fontId="113" fillId="0" borderId="0" xfId="0" applyFont="1" applyAlignment="1">
      <alignment horizontal="center"/>
    </xf>
    <xf numFmtId="0" fontId="19" fillId="0" borderId="0" xfId="0" applyFont="1"/>
    <xf numFmtId="0" fontId="3" fillId="0" borderId="119" xfId="0" applyFont="1" applyBorder="1"/>
    <xf numFmtId="0" fontId="3" fillId="0" borderId="121" xfId="0" applyFont="1" applyBorder="1"/>
    <xf numFmtId="0" fontId="3" fillId="0" borderId="52" xfId="0" applyFont="1" applyBorder="1"/>
    <xf numFmtId="0" fontId="114" fillId="0" borderId="0" xfId="0" applyFont="1" applyAlignment="1">
      <alignment horizontal="center" vertical="center"/>
    </xf>
    <xf numFmtId="0" fontId="5" fillId="0" borderId="116" xfId="0" applyFont="1" applyBorder="1" applyAlignment="1">
      <alignment vertical="center" wrapText="1"/>
    </xf>
    <xf numFmtId="0" fontId="109" fillId="0" borderId="0" xfId="0" applyFont="1" applyAlignment="1">
      <alignment horizontal="center" vertical="center"/>
    </xf>
    <xf numFmtId="0" fontId="2" fillId="0" borderId="12" xfId="0" applyFont="1" applyBorder="1" applyAlignment="1">
      <alignment horizontal="centerContinuous" vertical="center"/>
    </xf>
    <xf numFmtId="0" fontId="3" fillId="0" borderId="78" xfId="0" applyFont="1" applyBorder="1" applyAlignment="1">
      <alignment horizontal="centerContinuous" vertical="center"/>
    </xf>
    <xf numFmtId="0" fontId="27" fillId="0" borderId="19" xfId="0" applyFont="1" applyBorder="1" applyAlignment="1">
      <alignment horizontal="center" vertical="center"/>
    </xf>
    <xf numFmtId="0" fontId="6" fillId="0" borderId="20" xfId="0" applyFont="1" applyBorder="1" applyAlignment="1">
      <alignment horizontal="center" vertical="center" wrapText="1"/>
    </xf>
    <xf numFmtId="0" fontId="6" fillId="0" borderId="43" xfId="0" applyFont="1" applyBorder="1" applyAlignment="1">
      <alignment horizontal="centerContinuous" vertical="center"/>
    </xf>
    <xf numFmtId="0" fontId="6" fillId="0" borderId="44" xfId="0" applyFont="1" applyBorder="1" applyAlignment="1">
      <alignment horizontal="centerContinuous" vertical="center"/>
    </xf>
    <xf numFmtId="0" fontId="3" fillId="0" borderId="46" xfId="0" applyFont="1" applyBorder="1" applyAlignment="1">
      <alignment horizontal="centerContinuous"/>
    </xf>
    <xf numFmtId="0" fontId="11" fillId="0" borderId="30" xfId="0" applyFont="1" applyBorder="1" applyAlignment="1">
      <alignment horizontal="center"/>
    </xf>
    <xf numFmtId="0" fontId="12" fillId="0" borderId="26" xfId="0" applyFont="1" applyBorder="1" applyAlignment="1">
      <alignment horizontal="center"/>
    </xf>
    <xf numFmtId="0" fontId="12" fillId="0" borderId="27" xfId="0" applyFont="1" applyBorder="1" applyAlignment="1">
      <alignment horizontal="center"/>
    </xf>
    <xf numFmtId="0" fontId="12" fillId="0" borderId="41" xfId="0" applyFont="1" applyBorder="1" applyAlignment="1">
      <alignment horizontal="center"/>
    </xf>
    <xf numFmtId="0" fontId="4" fillId="0" borderId="39" xfId="0" applyFont="1" applyBorder="1" applyAlignment="1">
      <alignment horizontal="left"/>
    </xf>
    <xf numFmtId="0" fontId="32" fillId="0" borderId="59" xfId="0" applyFont="1" applyBorder="1" applyAlignment="1">
      <alignment horizontal="center"/>
    </xf>
    <xf numFmtId="40" fontId="3" fillId="0" borderId="106" xfId="32" applyFont="1" applyFill="1" applyBorder="1" applyAlignment="1"/>
    <xf numFmtId="40" fontId="3" fillId="0" borderId="107" xfId="32" applyFont="1" applyFill="1" applyBorder="1" applyAlignment="1"/>
    <xf numFmtId="40" fontId="3" fillId="0" borderId="108" xfId="32" applyFont="1" applyFill="1" applyBorder="1" applyAlignment="1"/>
    <xf numFmtId="0" fontId="15" fillId="0" borderId="0" xfId="0" applyFont="1"/>
    <xf numFmtId="0" fontId="9" fillId="0" borderId="0" xfId="0" applyFont="1" applyAlignment="1">
      <alignment vertical="top"/>
    </xf>
    <xf numFmtId="0" fontId="3" fillId="0" borderId="116" xfId="0" applyFont="1" applyBorder="1" applyAlignment="1">
      <alignment horizontal="centerContinuous" vertical="center"/>
    </xf>
    <xf numFmtId="0" fontId="3" fillId="0" borderId="86" xfId="0" applyFont="1" applyBorder="1" applyAlignment="1">
      <alignment horizontal="centerContinuous" vertical="center"/>
    </xf>
    <xf numFmtId="38" fontId="3" fillId="0" borderId="106" xfId="32" applyNumberFormat="1" applyFont="1" applyFill="1" applyBorder="1" applyAlignment="1"/>
    <xf numFmtId="38" fontId="3" fillId="0" borderId="108" xfId="32" applyNumberFormat="1" applyFont="1" applyFill="1" applyBorder="1" applyAlignment="1"/>
    <xf numFmtId="2" fontId="3" fillId="0" borderId="149" xfId="32" applyNumberFormat="1" applyFont="1" applyFill="1" applyBorder="1" applyAlignment="1" applyProtection="1">
      <protection locked="0"/>
    </xf>
    <xf numFmtId="2" fontId="3" fillId="0" borderId="139" xfId="32" applyNumberFormat="1" applyFont="1" applyFill="1" applyBorder="1" applyAlignment="1" applyProtection="1">
      <protection locked="0"/>
    </xf>
    <xf numFmtId="168" fontId="3" fillId="0" borderId="149" xfId="32" applyNumberFormat="1" applyFont="1" applyFill="1" applyBorder="1" applyAlignment="1" applyProtection="1">
      <protection locked="0"/>
    </xf>
    <xf numFmtId="168" fontId="3" fillId="0" borderId="140" xfId="32" applyNumberFormat="1" applyFont="1" applyFill="1" applyBorder="1" applyAlignment="1" applyProtection="1">
      <protection locked="0"/>
    </xf>
    <xf numFmtId="0" fontId="3" fillId="0" borderId="149" xfId="32" applyNumberFormat="1" applyFont="1" applyFill="1" applyBorder="1" applyAlignment="1" applyProtection="1">
      <protection locked="0"/>
    </xf>
    <xf numFmtId="0" fontId="3" fillId="0" borderId="140" xfId="32" applyNumberFormat="1" applyFont="1" applyFill="1" applyBorder="1" applyAlignment="1" applyProtection="1">
      <protection locked="0"/>
    </xf>
    <xf numFmtId="2" fontId="3" fillId="0" borderId="140" xfId="32" applyNumberFormat="1" applyFont="1" applyFill="1" applyBorder="1" applyAlignment="1" applyProtection="1">
      <protection locked="0"/>
    </xf>
    <xf numFmtId="0" fontId="0" fillId="0" borderId="19" xfId="0" applyBorder="1"/>
    <xf numFmtId="0" fontId="22" fillId="0" borderId="119" xfId="0" applyFont="1" applyBorder="1" applyAlignment="1">
      <alignment horizontal="center" vertical="center"/>
    </xf>
    <xf numFmtId="0" fontId="22" fillId="0" borderId="123" xfId="0" applyFont="1" applyBorder="1" applyAlignment="1">
      <alignment horizontal="center" vertical="center" wrapText="1"/>
    </xf>
    <xf numFmtId="0" fontId="22" fillId="24" borderId="0" xfId="0" applyFont="1" applyFill="1" applyAlignment="1">
      <alignment horizontal="center" vertical="center" wrapText="1"/>
    </xf>
    <xf numFmtId="0" fontId="15" fillId="0" borderId="50" xfId="0" applyFont="1" applyBorder="1" applyAlignment="1">
      <alignment horizontal="centerContinuous"/>
    </xf>
    <xf numFmtId="0" fontId="99" fillId="0" borderId="71" xfId="0" applyFont="1" applyBorder="1" applyAlignment="1">
      <alignment horizontal="center"/>
    </xf>
    <xf numFmtId="0" fontId="100" fillId="0" borderId="50" xfId="0" applyFont="1" applyBorder="1" applyAlignment="1">
      <alignment horizontal="center"/>
    </xf>
    <xf numFmtId="0" fontId="100" fillId="0" borderId="36" xfId="0" applyFont="1" applyBorder="1" applyAlignment="1">
      <alignment horizontal="center"/>
    </xf>
    <xf numFmtId="0" fontId="100" fillId="0" borderId="71" xfId="0" applyFont="1" applyBorder="1" applyAlignment="1">
      <alignment horizontal="center"/>
    </xf>
    <xf numFmtId="0" fontId="100" fillId="0" borderId="0" xfId="0" applyFont="1" applyAlignment="1">
      <alignment horizontal="center"/>
    </xf>
    <xf numFmtId="0" fontId="10" fillId="0" borderId="50" xfId="0" applyFont="1" applyBorder="1" applyAlignment="1">
      <alignment horizontal="center" vertical="center"/>
    </xf>
    <xf numFmtId="0" fontId="10" fillId="0" borderId="71" xfId="0" applyFont="1" applyBorder="1" applyAlignment="1">
      <alignment horizontal="center" vertical="center" wrapText="1"/>
    </xf>
    <xf numFmtId="1" fontId="11" fillId="0" borderId="50" xfId="0" applyNumberFormat="1" applyFont="1" applyBorder="1" applyAlignment="1">
      <alignment horizontal="center" vertical="center" wrapText="1"/>
    </xf>
    <xf numFmtId="0" fontId="11" fillId="0" borderId="71" xfId="0" applyFont="1" applyBorder="1" applyAlignment="1">
      <alignment horizontal="center" vertical="center" wrapText="1"/>
    </xf>
    <xf numFmtId="3" fontId="15" fillId="24" borderId="0" xfId="0" applyNumberFormat="1" applyFont="1" applyFill="1" applyProtection="1">
      <protection locked="0"/>
    </xf>
    <xf numFmtId="0" fontId="11" fillId="0" borderId="50" xfId="0" applyFont="1" applyBorder="1" applyAlignment="1">
      <alignment horizontal="center" vertical="center" wrapText="1"/>
    </xf>
    <xf numFmtId="0" fontId="15" fillId="0" borderId="50" xfId="0" applyFont="1" applyBorder="1" applyAlignment="1">
      <alignment horizontal="left"/>
    </xf>
    <xf numFmtId="0" fontId="3" fillId="0" borderId="71" xfId="0" applyFont="1" applyBorder="1" applyAlignment="1">
      <alignment horizontal="center"/>
    </xf>
    <xf numFmtId="3" fontId="15" fillId="24" borderId="50" xfId="0" applyNumberFormat="1" applyFont="1" applyFill="1" applyBorder="1" applyProtection="1">
      <protection locked="0"/>
    </xf>
    <xf numFmtId="3" fontId="15" fillId="24" borderId="36" xfId="0" applyNumberFormat="1" applyFont="1" applyFill="1" applyBorder="1" applyProtection="1">
      <protection locked="0"/>
    </xf>
    <xf numFmtId="3" fontId="15" fillId="24" borderId="71" xfId="0" applyNumberFormat="1" applyFont="1" applyFill="1" applyBorder="1" applyProtection="1">
      <protection locked="0"/>
    </xf>
    <xf numFmtId="0" fontId="15" fillId="0" borderId="50" xfId="0" applyFont="1" applyBorder="1" applyAlignment="1">
      <alignment horizontal="center"/>
    </xf>
    <xf numFmtId="0" fontId="5" fillId="0" borderId="73" xfId="0" applyFont="1" applyBorder="1" applyAlignment="1">
      <alignment horizontal="right" vertical="center"/>
    </xf>
    <xf numFmtId="0" fontId="15" fillId="0" borderId="75" xfId="0" applyFont="1" applyBorder="1" applyAlignment="1">
      <alignment horizontal="center"/>
    </xf>
    <xf numFmtId="38" fontId="15" fillId="0" borderId="73" xfId="32" applyNumberFormat="1" applyFont="1" applyFill="1" applyBorder="1" applyAlignment="1"/>
    <xf numFmtId="38" fontId="15" fillId="0" borderId="74" xfId="32" applyNumberFormat="1" applyFont="1" applyFill="1" applyBorder="1" applyAlignment="1"/>
    <xf numFmtId="38" fontId="15" fillId="0" borderId="75" xfId="32" applyNumberFormat="1" applyFont="1" applyFill="1" applyBorder="1" applyAlignment="1"/>
    <xf numFmtId="0" fontId="15" fillId="0" borderId="73" xfId="0" applyFont="1" applyBorder="1" applyAlignment="1">
      <alignment horizontal="center"/>
    </xf>
    <xf numFmtId="38" fontId="15" fillId="0" borderId="75" xfId="32" applyNumberFormat="1" applyFont="1" applyFill="1" applyBorder="1" applyAlignment="1">
      <alignment horizontal="center" vertical="center"/>
    </xf>
    <xf numFmtId="0" fontId="101" fillId="0" borderId="0" xfId="0" applyFont="1"/>
    <xf numFmtId="4" fontId="15" fillId="24" borderId="150" xfId="0" applyNumberFormat="1" applyFont="1" applyFill="1" applyBorder="1" applyProtection="1">
      <protection locked="0"/>
    </xf>
    <xf numFmtId="4" fontId="15" fillId="24" borderId="57" xfId="0" applyNumberFormat="1" applyFont="1" applyFill="1" applyBorder="1" applyProtection="1">
      <protection locked="0"/>
    </xf>
    <xf numFmtId="4" fontId="15" fillId="24" borderId="105" xfId="0" applyNumberFormat="1" applyFont="1" applyFill="1" applyBorder="1" applyProtection="1">
      <protection locked="0"/>
    </xf>
    <xf numFmtId="4" fontId="15" fillId="0" borderId="73" xfId="32" applyNumberFormat="1" applyFont="1" applyFill="1" applyBorder="1" applyAlignment="1"/>
    <xf numFmtId="4" fontId="15" fillId="0" borderId="75" xfId="32" applyNumberFormat="1" applyFont="1" applyFill="1" applyBorder="1" applyAlignment="1"/>
    <xf numFmtId="3" fontId="15" fillId="24" borderId="71" xfId="0" applyNumberFormat="1" applyFont="1" applyFill="1" applyBorder="1" applyAlignment="1">
      <alignment horizontal="center" vertical="center"/>
    </xf>
    <xf numFmtId="0" fontId="62" fillId="0" borderId="0" xfId="48" applyNumberFormat="1" applyFont="1" applyAlignment="1">
      <alignment horizontal="center" vertical="center" wrapText="1"/>
    </xf>
    <xf numFmtId="0" fontId="109" fillId="0" borderId="0" xfId="0" applyFont="1" applyAlignment="1" applyProtection="1">
      <alignment horizontal="center" vertical="center"/>
      <protection locked="0"/>
    </xf>
    <xf numFmtId="168" fontId="3" fillId="24" borderId="166" xfId="0" applyNumberFormat="1" applyFont="1" applyFill="1" applyBorder="1"/>
    <xf numFmtId="0" fontId="15" fillId="0" borderId="36" xfId="0" applyFont="1" applyBorder="1" applyAlignment="1">
      <alignment horizontal="center"/>
    </xf>
    <xf numFmtId="0" fontId="6" fillId="28" borderId="97" xfId="0" applyFont="1" applyFill="1" applyBorder="1" applyAlignment="1">
      <alignment horizontal="center" vertical="center"/>
    </xf>
    <xf numFmtId="0" fontId="6" fillId="28" borderId="142" xfId="0" applyFont="1" applyFill="1" applyBorder="1" applyAlignment="1">
      <alignment horizontal="center" vertical="center" wrapText="1"/>
    </xf>
    <xf numFmtId="0" fontId="6" fillId="28" borderId="143" xfId="0" applyFont="1" applyFill="1" applyBorder="1" applyAlignment="1">
      <alignment horizontal="center" vertical="center" wrapText="1"/>
    </xf>
    <xf numFmtId="0" fontId="22" fillId="0" borderId="76" xfId="0" applyFont="1" applyBorder="1" applyAlignment="1">
      <alignment horizontal="center" vertical="center" wrapText="1"/>
    </xf>
    <xf numFmtId="3" fontId="22" fillId="0" borderId="167" xfId="0" applyNumberFormat="1" applyFont="1" applyBorder="1" applyAlignment="1">
      <alignment vertical="center"/>
    </xf>
    <xf numFmtId="0" fontId="9" fillId="28" borderId="168" xfId="0" applyFont="1" applyFill="1" applyBorder="1" applyAlignment="1">
      <alignment horizontal="center" vertical="center" wrapText="1"/>
    </xf>
    <xf numFmtId="0" fontId="6" fillId="28" borderId="36" xfId="0" applyFont="1" applyFill="1" applyBorder="1" applyAlignment="1">
      <alignment horizontal="center" vertical="center" wrapText="1"/>
    </xf>
    <xf numFmtId="0" fontId="15" fillId="27" borderId="36" xfId="0" applyFont="1" applyFill="1" applyBorder="1" applyAlignment="1">
      <alignment wrapText="1"/>
    </xf>
    <xf numFmtId="0" fontId="3" fillId="0" borderId="119" xfId="0" applyFont="1" applyBorder="1" applyAlignment="1">
      <alignment horizontal="justify" wrapText="1"/>
    </xf>
    <xf numFmtId="3" fontId="15" fillId="0" borderId="120" xfId="0" applyNumberFormat="1" applyFont="1" applyBorder="1" applyAlignment="1">
      <alignment vertical="center"/>
    </xf>
    <xf numFmtId="0" fontId="15" fillId="0" borderId="71" xfId="0" applyFont="1" applyBorder="1" applyAlignment="1" applyProtection="1">
      <alignment wrapText="1"/>
      <protection locked="0"/>
    </xf>
    <xf numFmtId="0" fontId="6" fillId="28" borderId="71" xfId="0" applyFont="1" applyFill="1" applyBorder="1" applyAlignment="1">
      <alignment horizontal="center" vertical="center" wrapText="1"/>
    </xf>
    <xf numFmtId="0" fontId="15" fillId="27" borderId="71" xfId="0" applyFont="1" applyFill="1" applyBorder="1" applyAlignment="1">
      <alignment wrapText="1"/>
    </xf>
    <xf numFmtId="0" fontId="15" fillId="0" borderId="145" xfId="0" applyFont="1" applyBorder="1" applyAlignment="1" applyProtection="1">
      <alignment wrapText="1"/>
      <protection locked="0"/>
    </xf>
    <xf numFmtId="164" fontId="9" fillId="0" borderId="0" xfId="48" applyFont="1" applyAlignment="1">
      <alignment horizontal="left" vertical="center" wrapText="1"/>
    </xf>
    <xf numFmtId="164" fontId="9" fillId="0" borderId="132" xfId="48" applyFont="1" applyBorder="1" applyAlignment="1">
      <alignment horizontal="left" vertical="center" wrapText="1"/>
    </xf>
    <xf numFmtId="49" fontId="15" fillId="0" borderId="64" xfId="46" applyNumberFormat="1" applyFont="1" applyBorder="1" applyAlignment="1" applyProtection="1">
      <alignment horizontal="left" vertical="center"/>
      <protection locked="0"/>
    </xf>
    <xf numFmtId="49" fontId="15" fillId="0" borderId="134" xfId="46" applyNumberFormat="1" applyFont="1" applyBorder="1" applyAlignment="1" applyProtection="1">
      <alignment horizontal="left" vertical="center"/>
      <protection locked="0"/>
    </xf>
    <xf numFmtId="49" fontId="15" fillId="0" borderId="60" xfId="46" applyNumberFormat="1" applyFont="1" applyBorder="1" applyAlignment="1" applyProtection="1">
      <alignment horizontal="left" vertical="center"/>
      <protection locked="0"/>
    </xf>
    <xf numFmtId="49" fontId="8" fillId="0" borderId="64" xfId="22" applyNumberFormat="1" applyFill="1" applyBorder="1" applyAlignment="1" applyProtection="1">
      <alignment horizontal="left" vertical="center"/>
      <protection locked="0"/>
    </xf>
    <xf numFmtId="49" fontId="23" fillId="0" borderId="64" xfId="0" applyNumberFormat="1" applyFont="1" applyBorder="1" applyAlignment="1" applyProtection="1">
      <alignment horizontal="left" vertical="center"/>
      <protection locked="0"/>
    </xf>
    <xf numFmtId="49" fontId="23" fillId="0" borderId="60" xfId="0" applyNumberFormat="1" applyFont="1" applyBorder="1" applyAlignment="1" applyProtection="1">
      <alignment horizontal="left" vertical="center"/>
      <protection locked="0"/>
    </xf>
    <xf numFmtId="49" fontId="91" fillId="24" borderId="64" xfId="22" applyNumberFormat="1" applyFont="1" applyFill="1" applyBorder="1" applyAlignment="1" applyProtection="1">
      <alignment vertical="center"/>
      <protection locked="0"/>
    </xf>
    <xf numFmtId="49" fontId="15" fillId="24" borderId="134" xfId="0" applyNumberFormat="1" applyFont="1" applyFill="1" applyBorder="1" applyAlignment="1" applyProtection="1">
      <alignment vertical="center"/>
      <protection locked="0"/>
    </xf>
    <xf numFmtId="49" fontId="15" fillId="24" borderId="60" xfId="0" applyNumberFormat="1" applyFont="1" applyFill="1" applyBorder="1" applyAlignment="1" applyProtection="1">
      <alignment vertical="center"/>
      <protection locked="0"/>
    </xf>
    <xf numFmtId="0" fontId="86" fillId="25" borderId="64" xfId="0" applyFont="1" applyFill="1" applyBorder="1" applyAlignment="1">
      <alignment horizontal="center" vertical="center" readingOrder="1"/>
    </xf>
    <xf numFmtId="0" fontId="86" fillId="25" borderId="134" xfId="0" applyFont="1" applyFill="1" applyBorder="1" applyAlignment="1">
      <alignment horizontal="center" vertical="center" readingOrder="1"/>
    </xf>
    <xf numFmtId="0" fontId="86" fillId="25" borderId="60" xfId="0" applyFont="1" applyFill="1" applyBorder="1" applyAlignment="1">
      <alignment horizontal="center" vertical="center" readingOrder="1"/>
    </xf>
    <xf numFmtId="164" fontId="42" fillId="0" borderId="0" xfId="48" applyFont="1" applyAlignment="1">
      <alignment horizontal="left" vertical="center"/>
    </xf>
    <xf numFmtId="49" fontId="15" fillId="26" borderId="64" xfId="46" applyNumberFormat="1" applyFont="1" applyFill="1" applyBorder="1" applyAlignment="1" applyProtection="1">
      <alignment horizontal="left" vertical="center"/>
      <protection locked="0"/>
    </xf>
    <xf numFmtId="49" fontId="15" fillId="26" borderId="134" xfId="46" applyNumberFormat="1" applyFont="1" applyFill="1" applyBorder="1" applyAlignment="1" applyProtection="1">
      <alignment horizontal="left" vertical="center"/>
      <protection locked="0"/>
    </xf>
    <xf numFmtId="49" fontId="15" fillId="26" borderId="60" xfId="46" applyNumberFormat="1" applyFont="1" applyFill="1" applyBorder="1" applyAlignment="1" applyProtection="1">
      <alignment horizontal="left" vertical="center"/>
      <protection locked="0"/>
    </xf>
    <xf numFmtId="164" fontId="22" fillId="0" borderId="0" xfId="48" applyFont="1" applyAlignment="1">
      <alignment horizontal="left" vertical="center" wrapText="1"/>
    </xf>
    <xf numFmtId="164" fontId="9" fillId="24" borderId="0" xfId="48" applyFont="1" applyFill="1" applyAlignment="1">
      <alignment horizontal="left" vertical="center" wrapText="1"/>
    </xf>
    <xf numFmtId="164" fontId="5" fillId="0" borderId="0" xfId="48" applyFont="1" applyAlignment="1">
      <alignment horizontal="left" wrapText="1"/>
    </xf>
    <xf numFmtId="164" fontId="21" fillId="0" borderId="133" xfId="48" applyFont="1" applyBorder="1" applyAlignment="1">
      <alignment horizontal="left" wrapText="1"/>
    </xf>
    <xf numFmtId="0" fontId="82" fillId="25" borderId="64" xfId="0" applyFont="1" applyFill="1" applyBorder="1" applyAlignment="1">
      <alignment horizontal="center" vertical="center" wrapText="1" readingOrder="1"/>
    </xf>
    <xf numFmtId="0" fontId="82" fillId="25" borderId="134" xfId="0" applyFont="1" applyFill="1" applyBorder="1" applyAlignment="1">
      <alignment horizontal="center" vertical="center" wrapText="1" readingOrder="1"/>
    </xf>
    <xf numFmtId="0" fontId="82" fillId="25" borderId="60" xfId="0" applyFont="1" applyFill="1" applyBorder="1" applyAlignment="1">
      <alignment horizontal="center" vertical="center" wrapText="1" readingOrder="1"/>
    </xf>
    <xf numFmtId="49" fontId="23" fillId="0" borderId="151" xfId="46" applyNumberFormat="1" applyFont="1" applyBorder="1" applyAlignment="1" applyProtection="1">
      <alignment horizontal="left" vertical="center" wrapText="1"/>
      <protection locked="0"/>
    </xf>
    <xf numFmtId="49" fontId="23" fillId="0" borderId="133" xfId="46" applyNumberFormat="1" applyFont="1" applyBorder="1" applyAlignment="1" applyProtection="1">
      <alignment horizontal="left" vertical="center" wrapText="1"/>
      <protection locked="0"/>
    </xf>
    <xf numFmtId="49" fontId="23" fillId="0" borderId="152" xfId="46" applyNumberFormat="1" applyFont="1" applyBorder="1" applyAlignment="1" applyProtection="1">
      <alignment horizontal="left" vertical="center" wrapText="1"/>
      <protection locked="0"/>
    </xf>
    <xf numFmtId="49" fontId="23" fillId="0" borderId="20" xfId="46" applyNumberFormat="1" applyFont="1" applyBorder="1" applyAlignment="1" applyProtection="1">
      <alignment horizontal="left" vertical="center" wrapText="1"/>
      <protection locked="0"/>
    </xf>
    <xf numFmtId="49" fontId="23" fillId="0" borderId="0" xfId="46" applyNumberFormat="1" applyFont="1" applyAlignment="1" applyProtection="1">
      <alignment horizontal="left" vertical="center" wrapText="1"/>
      <protection locked="0"/>
    </xf>
    <xf numFmtId="49" fontId="23" fillId="0" borderId="132" xfId="46" applyNumberFormat="1" applyFont="1" applyBorder="1" applyAlignment="1" applyProtection="1">
      <alignment horizontal="left" vertical="center" wrapText="1"/>
      <protection locked="0"/>
    </xf>
    <xf numFmtId="49" fontId="23" fillId="0" borderId="59" xfId="46" applyNumberFormat="1" applyFont="1" applyBorder="1" applyAlignment="1" applyProtection="1">
      <alignment horizontal="left" vertical="center" wrapText="1"/>
      <protection locked="0"/>
    </xf>
    <xf numFmtId="49" fontId="23" fillId="0" borderId="78" xfId="46" applyNumberFormat="1" applyFont="1" applyBorder="1" applyAlignment="1" applyProtection="1">
      <alignment horizontal="left" vertical="center" wrapText="1"/>
      <protection locked="0"/>
    </xf>
    <xf numFmtId="49" fontId="23" fillId="0" borderId="80" xfId="46" applyNumberFormat="1" applyFont="1" applyBorder="1" applyAlignment="1" applyProtection="1">
      <alignment horizontal="left" vertical="center" wrapText="1"/>
      <protection locked="0"/>
    </xf>
    <xf numFmtId="164" fontId="42" fillId="0" borderId="0" xfId="48" applyFont="1" applyAlignment="1">
      <alignment horizontal="center" vertical="center"/>
    </xf>
    <xf numFmtId="49" fontId="15" fillId="0" borderId="64" xfId="48" applyNumberFormat="1" applyFont="1" applyBorder="1" applyAlignment="1" applyProtection="1">
      <alignment horizontal="left" vertical="center"/>
      <protection locked="0"/>
    </xf>
    <xf numFmtId="49" fontId="15" fillId="0" borderId="60" xfId="48" applyNumberFormat="1" applyFont="1" applyBorder="1" applyAlignment="1" applyProtection="1">
      <alignment horizontal="left" vertical="center"/>
      <protection locked="0"/>
    </xf>
    <xf numFmtId="49" fontId="15" fillId="26" borderId="64" xfId="48" applyNumberFormat="1" applyFont="1" applyFill="1" applyBorder="1" applyAlignment="1" applyProtection="1">
      <alignment horizontal="left" vertical="center"/>
      <protection locked="0"/>
    </xf>
    <xf numFmtId="49" fontId="15" fillId="26" borderId="60" xfId="48" applyNumberFormat="1" applyFont="1" applyFill="1" applyBorder="1" applyAlignment="1" applyProtection="1">
      <alignment horizontal="left" vertical="center"/>
      <protection locked="0"/>
    </xf>
    <xf numFmtId="0" fontId="88" fillId="0" borderId="0" xfId="0" applyFont="1" applyAlignment="1">
      <alignment horizontal="center" vertical="center" wrapText="1"/>
    </xf>
    <xf numFmtId="0" fontId="5" fillId="0" borderId="153" xfId="0" applyFont="1" applyBorder="1" applyAlignment="1">
      <alignment horizontal="center" vertical="center"/>
    </xf>
    <xf numFmtId="0" fontId="5" fillId="0" borderId="154" xfId="0" applyFont="1" applyBorder="1" applyAlignment="1">
      <alignment horizontal="center" vertical="center"/>
    </xf>
    <xf numFmtId="0" fontId="5" fillId="0" borderId="101" xfId="0" applyFont="1" applyBorder="1" applyAlignment="1">
      <alignment horizontal="center" vertical="center"/>
    </xf>
    <xf numFmtId="0" fontId="5" fillId="0" borderId="35" xfId="0" applyFont="1" applyBorder="1" applyAlignment="1">
      <alignment horizontal="center" vertical="center"/>
    </xf>
    <xf numFmtId="0" fontId="5" fillId="0" borderId="86" xfId="0" applyFont="1" applyBorder="1" applyAlignment="1">
      <alignment horizontal="center" vertical="center"/>
    </xf>
    <xf numFmtId="0" fontId="5" fillId="0" borderId="33" xfId="0" applyFont="1" applyBorder="1" applyAlignment="1">
      <alignment horizontal="center" vertical="center"/>
    </xf>
    <xf numFmtId="0" fontId="10" fillId="0" borderId="155" xfId="0" applyFont="1" applyBorder="1" applyAlignment="1">
      <alignment horizontal="center" vertical="center"/>
    </xf>
    <xf numFmtId="0" fontId="10" fillId="0" borderId="156" xfId="0" applyFont="1" applyBorder="1" applyAlignment="1">
      <alignment horizontal="center" vertical="center"/>
    </xf>
    <xf numFmtId="0" fontId="10" fillId="0" borderId="42" xfId="0" applyFont="1" applyBorder="1" applyAlignment="1">
      <alignment horizontal="center" vertical="center"/>
    </xf>
    <xf numFmtId="0" fontId="10" fillId="0" borderId="117" xfId="0" applyFont="1" applyBorder="1" applyAlignment="1">
      <alignment horizontal="center" vertical="center"/>
    </xf>
    <xf numFmtId="0" fontId="88" fillId="0" borderId="153" xfId="0" applyFont="1" applyBorder="1" applyAlignment="1">
      <alignment horizontal="center" vertical="center" wrapText="1"/>
    </xf>
    <xf numFmtId="0" fontId="88" fillId="0" borderId="154" xfId="0" applyFont="1" applyBorder="1" applyAlignment="1">
      <alignment horizontal="center" vertical="center" wrapText="1"/>
    </xf>
    <xf numFmtId="0" fontId="88" fillId="0" borderId="101"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44" xfId="0" applyFont="1" applyBorder="1" applyAlignment="1">
      <alignment horizontal="center" vertical="center" wrapText="1"/>
    </xf>
    <xf numFmtId="0" fontId="7" fillId="0" borderId="0" xfId="0" applyFont="1" applyAlignment="1">
      <alignment horizontal="center" vertical="top" wrapText="1"/>
    </xf>
    <xf numFmtId="0" fontId="9" fillId="0" borderId="0" xfId="0" applyFont="1" applyAlignment="1">
      <alignment vertical="top"/>
    </xf>
    <xf numFmtId="0" fontId="5" fillId="0" borderId="116" xfId="0" applyFont="1" applyBorder="1" applyAlignment="1">
      <alignment horizontal="left" vertical="center" wrapText="1"/>
    </xf>
    <xf numFmtId="0" fontId="6" fillId="0" borderId="43" xfId="0" applyFont="1" applyBorder="1" applyAlignment="1">
      <alignment horizontal="center" vertical="center" wrapText="1"/>
    </xf>
    <xf numFmtId="0" fontId="27" fillId="24" borderId="36" xfId="0" applyFont="1" applyFill="1" applyBorder="1" applyAlignment="1">
      <alignment horizontal="center" vertical="center" wrapText="1"/>
    </xf>
    <xf numFmtId="0" fontId="27" fillId="24" borderId="36" xfId="0" applyFont="1" applyFill="1" applyBorder="1" applyAlignment="1">
      <alignment horizontal="center" wrapText="1"/>
    </xf>
    <xf numFmtId="0" fontId="27" fillId="24" borderId="77" xfId="0" applyFont="1" applyFill="1" applyBorder="1" applyAlignment="1">
      <alignment horizontal="center" wrapText="1"/>
    </xf>
    <xf numFmtId="0" fontId="27" fillId="24" borderId="64" xfId="0" applyFont="1" applyFill="1" applyBorder="1" applyAlignment="1">
      <alignment horizontal="center" wrapText="1"/>
    </xf>
    <xf numFmtId="0" fontId="4" fillId="24" borderId="36" xfId="0" applyFont="1" applyFill="1" applyBorder="1" applyAlignment="1">
      <alignment horizontal="center" wrapText="1"/>
    </xf>
    <xf numFmtId="0" fontId="7" fillId="24" borderId="0" xfId="0" applyFont="1" applyFill="1" applyAlignment="1">
      <alignment horizontal="center" vertical="center" wrapText="1"/>
    </xf>
    <xf numFmtId="0" fontId="27" fillId="24" borderId="64" xfId="0" applyFont="1" applyFill="1" applyBorder="1" applyAlignment="1">
      <alignment horizontal="center" vertical="center" wrapText="1"/>
    </xf>
    <xf numFmtId="0" fontId="27" fillId="24" borderId="87" xfId="0" applyFont="1" applyFill="1" applyBorder="1" applyAlignment="1">
      <alignment horizontal="center" vertical="center" wrapText="1"/>
    </xf>
    <xf numFmtId="0" fontId="27" fillId="24" borderId="56" xfId="0" applyFont="1" applyFill="1" applyBorder="1" applyAlignment="1">
      <alignment horizontal="center" vertical="center" wrapText="1"/>
    </xf>
    <xf numFmtId="0" fontId="27" fillId="24" borderId="79" xfId="0" applyFont="1" applyFill="1" applyBorder="1" applyAlignment="1">
      <alignment horizontal="center" vertical="center" wrapText="1"/>
    </xf>
    <xf numFmtId="0" fontId="27" fillId="24" borderId="81" xfId="0" applyFont="1" applyFill="1" applyBorder="1" applyAlignment="1">
      <alignment horizontal="center" vertical="center" wrapText="1"/>
    </xf>
    <xf numFmtId="0" fontId="27" fillId="24" borderId="77" xfId="0" applyFont="1" applyFill="1" applyBorder="1" applyAlignment="1">
      <alignment horizontal="center" vertical="center" wrapText="1"/>
    </xf>
    <xf numFmtId="0" fontId="27" fillId="24" borderId="81" xfId="0" applyFont="1" applyFill="1" applyBorder="1" applyAlignment="1">
      <alignment horizontal="center" wrapText="1"/>
    </xf>
    <xf numFmtId="0" fontId="27" fillId="24" borderId="60" xfId="0" applyFont="1" applyFill="1" applyBorder="1" applyAlignment="1">
      <alignment horizontal="center" wrapText="1"/>
    </xf>
    <xf numFmtId="0" fontId="7" fillId="0" borderId="0" xfId="0" applyFont="1" applyAlignment="1">
      <alignment horizontal="left" vertical="top" wrapText="1"/>
    </xf>
    <xf numFmtId="0" fontId="27" fillId="0" borderId="116" xfId="0" applyFont="1" applyBorder="1" applyAlignment="1">
      <alignment horizontal="left" vertical="center" wrapText="1"/>
    </xf>
    <xf numFmtId="0" fontId="20" fillId="24" borderId="34" xfId="50" applyFont="1" applyFill="1" applyBorder="1" applyAlignment="1">
      <alignment horizontal="center" vertical="center"/>
    </xf>
    <xf numFmtId="0" fontId="0" fillId="0" borderId="43" xfId="0" applyBorder="1" applyAlignment="1">
      <alignment horizontal="center" vertical="center"/>
    </xf>
    <xf numFmtId="0" fontId="20" fillId="24" borderId="42" xfId="50" applyFont="1" applyFill="1" applyBorder="1" applyAlignment="1">
      <alignment horizontal="center" vertical="center"/>
    </xf>
    <xf numFmtId="0" fontId="13" fillId="24" borderId="38" xfId="51" applyFont="1" applyFill="1" applyBorder="1" applyAlignment="1">
      <alignment horizontal="center" vertical="center"/>
    </xf>
    <xf numFmtId="0" fontId="0" fillId="0" borderId="35" xfId="0" applyBorder="1"/>
    <xf numFmtId="0" fontId="0" fillId="0" borderId="37" xfId="0" applyBorder="1"/>
    <xf numFmtId="0" fontId="20" fillId="24" borderId="34" xfId="50" applyFont="1" applyFill="1" applyBorder="1" applyAlignment="1">
      <alignment horizontal="center" vertical="center" wrapText="1"/>
    </xf>
    <xf numFmtId="0" fontId="20" fillId="24" borderId="44" xfId="50" applyFont="1" applyFill="1" applyBorder="1" applyAlignment="1">
      <alignment horizontal="center" vertical="center" wrapText="1"/>
    </xf>
    <xf numFmtId="0" fontId="21" fillId="0" borderId="15" xfId="0" applyFont="1" applyBorder="1" applyAlignment="1">
      <alignment horizontal="center" vertical="center" wrapText="1"/>
    </xf>
    <xf numFmtId="0" fontId="21" fillId="0" borderId="125" xfId="0" applyFont="1" applyBorder="1" applyAlignment="1">
      <alignment horizontal="center" vertical="center" wrapText="1"/>
    </xf>
    <xf numFmtId="0" fontId="5" fillId="0" borderId="85" xfId="0" applyFont="1" applyBorder="1" applyAlignment="1">
      <alignment horizontal="center" vertical="center"/>
    </xf>
    <xf numFmtId="0" fontId="5" fillId="0" borderId="157" xfId="0" applyFont="1" applyBorder="1" applyAlignment="1">
      <alignment horizontal="center" vertical="center"/>
    </xf>
    <xf numFmtId="0" fontId="20" fillId="0" borderId="15" xfId="50" applyFont="1" applyBorder="1" applyAlignment="1">
      <alignment horizontal="center" vertical="center" wrapText="1"/>
    </xf>
    <xf numFmtId="0" fontId="20" fillId="0" borderId="16" xfId="50" applyFont="1" applyBorder="1" applyAlignment="1">
      <alignment horizontal="center" vertical="center" wrapText="1"/>
    </xf>
    <xf numFmtId="0" fontId="20" fillId="0" borderId="103" xfId="50" applyFont="1" applyBorder="1" applyAlignment="1">
      <alignment horizontal="center" vertical="center" wrapText="1"/>
    </xf>
    <xf numFmtId="0" fontId="20" fillId="0" borderId="113" xfId="50" applyFont="1" applyBorder="1" applyAlignment="1">
      <alignment horizontal="center" vertical="center" wrapText="1"/>
    </xf>
    <xf numFmtId="0" fontId="20" fillId="0" borderId="112" xfId="50" applyFont="1" applyBorder="1" applyAlignment="1">
      <alignment horizontal="center" vertical="center" wrapText="1"/>
    </xf>
    <xf numFmtId="0" fontId="20" fillId="0" borderId="70" xfId="50" applyFont="1" applyBorder="1" applyAlignment="1">
      <alignment horizontal="center" vertical="center" wrapText="1"/>
    </xf>
    <xf numFmtId="0" fontId="20" fillId="0" borderId="103" xfId="51" applyFont="1" applyBorder="1" applyAlignment="1">
      <alignment horizontal="center" vertical="center" wrapText="1"/>
    </xf>
    <xf numFmtId="0" fontId="20" fillId="0" borderId="113" xfId="51" applyFont="1" applyBorder="1" applyAlignment="1">
      <alignment horizontal="center" vertical="center" wrapText="1"/>
    </xf>
    <xf numFmtId="0" fontId="20" fillId="0" borderId="103" xfId="51" applyFont="1" applyBorder="1" applyAlignment="1">
      <alignment horizontal="center" vertical="center"/>
    </xf>
    <xf numFmtId="0" fontId="20" fillId="0" borderId="70" xfId="51" applyFont="1" applyBorder="1" applyAlignment="1">
      <alignment horizontal="center" vertical="center"/>
    </xf>
    <xf numFmtId="0" fontId="20" fillId="0" borderId="34" xfId="51" applyFont="1" applyBorder="1" applyAlignment="1">
      <alignment horizontal="center" vertical="center" wrapText="1"/>
    </xf>
    <xf numFmtId="0" fontId="0" fillId="0" borderId="43" xfId="0" applyBorder="1" applyAlignment="1">
      <alignment horizontal="center" vertical="center" wrapText="1"/>
    </xf>
    <xf numFmtId="0" fontId="20" fillId="0" borderId="34" xfId="51" applyFont="1" applyBorder="1" applyAlignment="1">
      <alignment horizontal="center" vertical="center"/>
    </xf>
    <xf numFmtId="0" fontId="0" fillId="0" borderId="44" xfId="0" applyBorder="1" applyAlignment="1">
      <alignment horizontal="center" vertical="center"/>
    </xf>
    <xf numFmtId="0" fontId="20" fillId="0" borderId="15" xfId="51" applyFont="1" applyBorder="1" applyAlignment="1">
      <alignment horizontal="center" vertical="center" wrapText="1"/>
    </xf>
    <xf numFmtId="0" fontId="20" fillId="0" borderId="16" xfId="51" applyFont="1" applyBorder="1" applyAlignment="1">
      <alignment horizontal="center" vertical="center" wrapText="1"/>
    </xf>
    <xf numFmtId="0" fontId="0" fillId="0" borderId="16" xfId="0" applyBorder="1" applyAlignment="1">
      <alignment horizontal="center" vertical="center" wrapText="1"/>
    </xf>
    <xf numFmtId="0" fontId="6" fillId="0" borderId="34" xfId="52" applyFont="1" applyBorder="1" applyAlignment="1">
      <alignment horizontal="center" vertical="center"/>
    </xf>
    <xf numFmtId="0" fontId="6" fillId="0" borderId="43" xfId="52" applyFont="1" applyBorder="1" applyAlignment="1">
      <alignment horizontal="center" vertical="center"/>
    </xf>
    <xf numFmtId="0" fontId="6" fillId="0" borderId="34" xfId="53" applyFont="1" applyBorder="1" applyAlignment="1">
      <alignment horizontal="center" vertical="center"/>
    </xf>
    <xf numFmtId="0" fontId="6" fillId="0" borderId="43" xfId="53" applyFont="1" applyBorder="1" applyAlignment="1">
      <alignment horizontal="center" vertical="center"/>
    </xf>
    <xf numFmtId="0" fontId="6" fillId="0" borderId="44" xfId="53" applyFont="1" applyBorder="1" applyAlignment="1">
      <alignment horizontal="center" vertical="center"/>
    </xf>
    <xf numFmtId="0" fontId="16" fillId="0" borderId="158" xfId="54" applyFont="1" applyBorder="1" applyAlignment="1">
      <alignment horizontal="center" vertical="center" wrapText="1"/>
    </xf>
    <xf numFmtId="0" fontId="16" fillId="0" borderId="23" xfId="54" applyFont="1" applyBorder="1" applyAlignment="1">
      <alignment horizontal="center" vertical="center" wrapText="1"/>
    </xf>
    <xf numFmtId="0" fontId="55" fillId="0" borderId="0" xfId="0" applyFont="1" applyAlignment="1">
      <alignment horizontal="center" wrapText="1"/>
    </xf>
    <xf numFmtId="0" fontId="55" fillId="0" borderId="116" xfId="0" applyFont="1" applyBorder="1" applyAlignment="1">
      <alignment horizontal="center" wrapText="1"/>
    </xf>
    <xf numFmtId="0" fontId="16" fillId="0" borderId="103" xfId="55" applyFont="1" applyBorder="1" applyAlignment="1">
      <alignment horizontal="center" vertical="center" wrapText="1"/>
    </xf>
    <xf numFmtId="0" fontId="16" fillId="0" borderId="113" xfId="55" applyFont="1" applyBorder="1" applyAlignment="1">
      <alignment horizontal="center" vertical="center" wrapText="1"/>
    </xf>
    <xf numFmtId="0" fontId="16" fillId="0" borderId="103" xfId="55" applyFont="1" applyBorder="1" applyAlignment="1" applyProtection="1">
      <alignment horizontal="center" vertical="center" wrapText="1"/>
      <protection locked="0"/>
    </xf>
    <xf numFmtId="0" fontId="0" fillId="0" borderId="113" xfId="0" applyBorder="1"/>
    <xf numFmtId="0" fontId="17" fillId="0" borderId="15" xfId="55" applyFont="1" applyBorder="1" applyAlignment="1">
      <alignment horizontal="center" vertical="center" wrapText="1"/>
    </xf>
    <xf numFmtId="0" fontId="16" fillId="0" borderId="15" xfId="55" applyFont="1" applyBorder="1" applyAlignment="1">
      <alignment horizontal="center" vertical="center" wrapText="1"/>
    </xf>
    <xf numFmtId="0" fontId="87" fillId="0" borderId="15" xfId="0" applyFont="1" applyBorder="1" applyAlignment="1">
      <alignment horizontal="center" vertical="center" wrapText="1"/>
    </xf>
    <xf numFmtId="0" fontId="0" fillId="0" borderId="16" xfId="0" applyBorder="1" applyAlignment="1">
      <alignment vertical="center" wrapText="1"/>
    </xf>
    <xf numFmtId="0" fontId="6" fillId="30" borderId="159" xfId="0" applyFont="1" applyFill="1" applyBorder="1" applyAlignment="1">
      <alignment horizontal="center" vertical="top" wrapText="1"/>
    </xf>
    <xf numFmtId="0" fontId="6" fillId="30" borderId="160" xfId="0" applyFont="1" applyFill="1" applyBorder="1" applyAlignment="1">
      <alignment horizontal="center" vertical="top" wrapText="1"/>
    </xf>
    <xf numFmtId="0" fontId="3" fillId="0" borderId="0" xfId="0" applyFont="1" applyAlignment="1">
      <alignment horizontal="left" wrapText="1"/>
    </xf>
    <xf numFmtId="0" fontId="115" fillId="0" borderId="19" xfId="0" applyFont="1" applyBorder="1" applyAlignment="1">
      <alignment horizontal="left" vertical="center" wrapText="1"/>
    </xf>
    <xf numFmtId="0" fontId="115" fillId="0" borderId="0" xfId="0" applyFont="1" applyAlignment="1">
      <alignment horizontal="left" vertical="center" wrapText="1"/>
    </xf>
    <xf numFmtId="0" fontId="104" fillId="0" borderId="154" xfId="0" applyFont="1" applyBorder="1" applyAlignment="1">
      <alignment horizontal="center"/>
    </xf>
    <xf numFmtId="0" fontId="0" fillId="0" borderId="161" xfId="0" applyBorder="1" applyAlignment="1" applyProtection="1">
      <alignment vertical="top" wrapText="1"/>
      <protection locked="0"/>
    </xf>
    <xf numFmtId="0" fontId="0" fillId="0" borderId="147" xfId="0" applyBorder="1" applyAlignment="1" applyProtection="1">
      <alignment vertical="top" wrapText="1"/>
      <protection locked="0"/>
    </xf>
    <xf numFmtId="0" fontId="0" fillId="0" borderId="72" xfId="0" applyBorder="1" applyAlignment="1" applyProtection="1">
      <alignment vertical="top" wrapText="1"/>
      <protection locked="0"/>
    </xf>
    <xf numFmtId="0" fontId="107" fillId="0" borderId="116" xfId="0" applyFont="1" applyBorder="1" applyAlignment="1">
      <alignment horizontal="center" vertical="center" wrapText="1"/>
    </xf>
    <xf numFmtId="0" fontId="30" fillId="0" borderId="47" xfId="0" applyFont="1" applyBorder="1" applyAlignment="1">
      <alignment horizontal="center"/>
    </xf>
    <xf numFmtId="0" fontId="30" fillId="0" borderId="12" xfId="0" applyFont="1" applyBorder="1" applyAlignment="1">
      <alignment horizontal="center"/>
    </xf>
    <xf numFmtId="0" fontId="30" fillId="0" borderId="29" xfId="0" applyFont="1" applyBorder="1" applyAlignment="1">
      <alignment horizontal="center"/>
    </xf>
    <xf numFmtId="0" fontId="0" fillId="0" borderId="0" xfId="0"/>
    <xf numFmtId="0" fontId="116" fillId="0" borderId="116" xfId="0" applyFont="1" applyBorder="1" applyAlignment="1">
      <alignment horizontal="right" vertical="top" wrapText="1"/>
    </xf>
    <xf numFmtId="0" fontId="117" fillId="0" borderId="116" xfId="0" applyFont="1" applyBorder="1" applyAlignment="1">
      <alignment horizontal="right"/>
    </xf>
    <xf numFmtId="3" fontId="15" fillId="0" borderId="120" xfId="0" applyNumberFormat="1" applyFont="1" applyBorder="1" applyProtection="1">
      <protection locked="0"/>
    </xf>
    <xf numFmtId="3" fontId="15" fillId="0" borderId="36" xfId="0" applyNumberFormat="1" applyFont="1" applyBorder="1" applyProtection="1">
      <protection locked="0"/>
    </xf>
    <xf numFmtId="0" fontId="15" fillId="0" borderId="123" xfId="0" applyFont="1" applyBorder="1" applyAlignment="1" applyProtection="1">
      <alignment wrapText="1"/>
      <protection locked="0"/>
    </xf>
    <xf numFmtId="0" fontId="15" fillId="0" borderId="71" xfId="0" applyFont="1" applyBorder="1" applyAlignment="1" applyProtection="1">
      <alignment wrapText="1"/>
      <protection locked="0"/>
    </xf>
    <xf numFmtId="0" fontId="5" fillId="0" borderId="64" xfId="0" applyFont="1" applyBorder="1" applyAlignment="1">
      <alignment horizontal="center"/>
    </xf>
    <xf numFmtId="0" fontId="5" fillId="0" borderId="134" xfId="0" applyFont="1" applyBorder="1" applyAlignment="1">
      <alignment horizontal="center"/>
    </xf>
    <xf numFmtId="0" fontId="5" fillId="0" borderId="60" xfId="0" applyFont="1" applyBorder="1" applyAlignment="1">
      <alignment horizontal="center"/>
    </xf>
    <xf numFmtId="0" fontId="27" fillId="0" borderId="0" xfId="0" applyFont="1" applyAlignment="1">
      <alignment horizontal="left" vertical="center" wrapText="1"/>
    </xf>
    <xf numFmtId="0" fontId="21" fillId="0" borderId="64" xfId="0" applyFont="1" applyBorder="1" applyAlignment="1">
      <alignment horizontal="center" wrapText="1"/>
    </xf>
    <xf numFmtId="0" fontId="21" fillId="0" borderId="134" xfId="0" applyFont="1" applyBorder="1" applyAlignment="1">
      <alignment horizontal="center" wrapText="1"/>
    </xf>
    <xf numFmtId="0" fontId="21" fillId="0" borderId="60" xfId="0" applyFont="1" applyBorder="1" applyAlignment="1">
      <alignment horizontal="center" wrapText="1"/>
    </xf>
    <xf numFmtId="0" fontId="21" fillId="0" borderId="64" xfId="0" applyFont="1" applyBorder="1" applyAlignment="1">
      <alignment horizontal="center"/>
    </xf>
    <xf numFmtId="0" fontId="21" fillId="0" borderId="134" xfId="0" applyFont="1" applyBorder="1" applyAlignment="1">
      <alignment horizontal="center"/>
    </xf>
    <xf numFmtId="0" fontId="21" fillId="0" borderId="60" xfId="0" applyFont="1" applyBorder="1" applyAlignment="1">
      <alignment horizontal="center"/>
    </xf>
    <xf numFmtId="0" fontId="55" fillId="0" borderId="0" xfId="0" applyFont="1" applyAlignment="1">
      <alignment horizontal="center" vertical="center" wrapText="1"/>
    </xf>
    <xf numFmtId="0" fontId="22" fillId="0" borderId="153" xfId="0" applyFont="1" applyBorder="1" applyAlignment="1">
      <alignment horizontal="left" wrapText="1"/>
    </xf>
    <xf numFmtId="0" fontId="22" fillId="0" borderId="154" xfId="0" applyFont="1" applyBorder="1" applyAlignment="1">
      <alignment horizontal="left" wrapText="1"/>
    </xf>
    <xf numFmtId="0" fontId="22" fillId="0" borderId="101" xfId="0" applyFont="1" applyBorder="1" applyAlignment="1">
      <alignment horizontal="left" wrapText="1"/>
    </xf>
    <xf numFmtId="10" fontId="3" fillId="0" borderId="162" xfId="58" applyNumberFormat="1" applyFont="1" applyBorder="1" applyAlignment="1">
      <alignment horizontal="center" vertical="center" wrapText="1"/>
    </xf>
    <xf numFmtId="10" fontId="3" fillId="0" borderId="159" xfId="58" applyNumberFormat="1" applyFont="1" applyBorder="1" applyAlignment="1">
      <alignment horizontal="center" vertical="center" wrapText="1"/>
    </xf>
    <xf numFmtId="10" fontId="3" fillId="0" borderId="160" xfId="58" applyNumberFormat="1" applyFont="1" applyBorder="1" applyAlignment="1">
      <alignment horizontal="center" vertical="center" wrapText="1"/>
    </xf>
    <xf numFmtId="0" fontId="10" fillId="0" borderId="161" xfId="0" applyFont="1" applyBorder="1" applyAlignment="1">
      <alignment horizontal="right"/>
    </xf>
    <xf numFmtId="0" fontId="10" fillId="0" borderId="147" xfId="0" applyFont="1" applyBorder="1" applyAlignment="1">
      <alignment horizontal="right"/>
    </xf>
    <xf numFmtId="0" fontId="10" fillId="0" borderId="163" xfId="0" applyFont="1" applyBorder="1" applyAlignment="1">
      <alignment horizontal="right"/>
    </xf>
    <xf numFmtId="0" fontId="94" fillId="0" borderId="0" xfId="0" applyFont="1" applyAlignment="1">
      <alignment horizontal="left" vertical="top" wrapText="1"/>
    </xf>
    <xf numFmtId="0" fontId="14" fillId="0" borderId="19" xfId="0" applyFont="1" applyBorder="1" applyAlignment="1">
      <alignment horizontal="center" vertical="center"/>
    </xf>
    <xf numFmtId="0" fontId="14" fillId="0" borderId="0" xfId="0" applyFont="1" applyAlignment="1">
      <alignment horizontal="center" vertical="center"/>
    </xf>
    <xf numFmtId="0" fontId="14" fillId="0" borderId="41" xfId="0" applyFont="1" applyBorder="1" applyAlignment="1">
      <alignment horizontal="center" vertical="center"/>
    </xf>
    <xf numFmtId="0" fontId="14" fillId="0" borderId="14" xfId="0" applyFont="1" applyBorder="1" applyAlignment="1">
      <alignment horizontal="center" vertical="center"/>
    </xf>
    <xf numFmtId="0" fontId="14" fillId="0" borderId="116" xfId="0" applyFont="1" applyBorder="1" applyAlignment="1">
      <alignment horizontal="center" vertical="center"/>
    </xf>
    <xf numFmtId="0" fontId="14" fillId="0" borderId="165" xfId="0" applyFont="1" applyBorder="1" applyAlignment="1">
      <alignment horizontal="center" vertical="center"/>
    </xf>
    <xf numFmtId="0" fontId="14" fillId="0" borderId="10" xfId="0" applyFont="1" applyBorder="1" applyAlignment="1">
      <alignment horizontal="center" vertical="center"/>
    </xf>
    <xf numFmtId="0" fontId="14" fillId="0" borderId="85" xfId="0" applyFont="1" applyBorder="1" applyAlignment="1">
      <alignment horizontal="center" vertical="center"/>
    </xf>
    <xf numFmtId="0" fontId="14" fillId="0" borderId="157" xfId="0" applyFont="1" applyBorder="1" applyAlignment="1">
      <alignment horizontal="center" vertical="center"/>
    </xf>
    <xf numFmtId="0" fontId="14" fillId="0" borderId="153" xfId="0" applyFont="1" applyBorder="1" applyAlignment="1">
      <alignment horizontal="center" vertical="center" wrapText="1"/>
    </xf>
    <xf numFmtId="0" fontId="14" fillId="0" borderId="154" xfId="0" applyFont="1" applyBorder="1" applyAlignment="1">
      <alignment horizontal="center" vertical="center" wrapText="1"/>
    </xf>
    <xf numFmtId="0" fontId="14" fillId="0" borderId="101" xfId="0" applyFont="1" applyBorder="1" applyAlignment="1">
      <alignment horizontal="center" vertical="center" wrapText="1"/>
    </xf>
    <xf numFmtId="0" fontId="14" fillId="0" borderId="153" xfId="0" applyFont="1" applyBorder="1" applyAlignment="1">
      <alignment horizontal="center" vertical="center"/>
    </xf>
    <xf numFmtId="0" fontId="29" fillId="0" borderId="154" xfId="0" applyFont="1" applyBorder="1" applyAlignment="1">
      <alignment horizontal="center" vertical="center"/>
    </xf>
    <xf numFmtId="0" fontId="29" fillId="0" borderId="101" xfId="0" applyFont="1" applyBorder="1" applyAlignment="1">
      <alignment horizontal="center" vertical="center"/>
    </xf>
    <xf numFmtId="0" fontId="29" fillId="0" borderId="85" xfId="0" applyFont="1" applyBorder="1" applyAlignment="1">
      <alignment horizontal="center" vertical="center"/>
    </xf>
    <xf numFmtId="0" fontId="29" fillId="0" borderId="157" xfId="0" applyFont="1" applyBorder="1" applyAlignment="1">
      <alignment horizontal="center" vertical="center"/>
    </xf>
    <xf numFmtId="0" fontId="29" fillId="0" borderId="19" xfId="0" applyFont="1" applyBorder="1" applyAlignment="1">
      <alignment horizontal="center" vertical="center"/>
    </xf>
    <xf numFmtId="0" fontId="29" fillId="0" borderId="0" xfId="0" applyFont="1" applyAlignment="1">
      <alignment horizontal="center" vertical="center"/>
    </xf>
    <xf numFmtId="0" fontId="29" fillId="0" borderId="41" xfId="0" applyFont="1" applyBorder="1" applyAlignment="1">
      <alignment horizontal="center" vertical="center"/>
    </xf>
    <xf numFmtId="0" fontId="29" fillId="0" borderId="14" xfId="0" applyFont="1" applyBorder="1" applyAlignment="1">
      <alignment horizontal="center" vertical="center"/>
    </xf>
    <xf numFmtId="0" fontId="29" fillId="0" borderId="116" xfId="0" applyFont="1" applyBorder="1" applyAlignment="1">
      <alignment horizontal="center" vertical="center"/>
    </xf>
    <xf numFmtId="0" fontId="29" fillId="0" borderId="165" xfId="0" applyFont="1" applyBorder="1" applyAlignment="1">
      <alignment horizontal="center" vertical="center"/>
    </xf>
    <xf numFmtId="0" fontId="14" fillId="0" borderId="154" xfId="0" applyFont="1" applyBorder="1" applyAlignment="1">
      <alignment horizontal="center" vertical="center"/>
    </xf>
    <xf numFmtId="0" fontId="14" fillId="0" borderId="101" xfId="0" applyFont="1" applyBorder="1" applyAlignment="1">
      <alignment horizontal="center" vertical="center"/>
    </xf>
    <xf numFmtId="3" fontId="36" fillId="0" borderId="164" xfId="0" applyNumberFormat="1" applyFont="1" applyBorder="1" applyAlignment="1">
      <alignment horizontal="center"/>
    </xf>
    <xf numFmtId="0" fontId="53" fillId="0" borderId="154" xfId="0" applyFont="1" applyBorder="1"/>
    <xf numFmtId="0" fontId="53" fillId="0" borderId="101" xfId="0" applyFont="1" applyBorder="1"/>
    <xf numFmtId="0" fontId="10" fillId="0" borderId="153" xfId="0" applyFont="1" applyBorder="1" applyAlignment="1">
      <alignment horizontal="center" vertical="center" wrapText="1"/>
    </xf>
    <xf numFmtId="0" fontId="10" fillId="0" borderId="154" xfId="0" applyFont="1" applyBorder="1" applyAlignment="1">
      <alignment horizontal="center" vertical="center" wrapText="1"/>
    </xf>
    <xf numFmtId="0" fontId="10" fillId="0" borderId="101" xfId="0" applyFont="1" applyBorder="1" applyAlignment="1">
      <alignment horizontal="center" vertical="center" wrapText="1"/>
    </xf>
    <xf numFmtId="0" fontId="22" fillId="0" borderId="78" xfId="0" applyFont="1" applyBorder="1" applyAlignment="1">
      <alignment horizontal="center" wrapText="1"/>
    </xf>
    <xf numFmtId="0" fontId="22" fillId="0" borderId="78" xfId="0" applyFont="1" applyBorder="1" applyAlignment="1">
      <alignment horizontal="left" wrapText="1"/>
    </xf>
    <xf numFmtId="0" fontId="112" fillId="27" borderId="0" xfId="0" applyFont="1" applyFill="1" applyAlignment="1">
      <alignment horizontal="center"/>
    </xf>
    <xf numFmtId="0" fontId="9" fillId="0" borderId="0" xfId="0" applyFont="1" applyAlignment="1">
      <alignment horizontal="left" wrapText="1"/>
    </xf>
    <xf numFmtId="0" fontId="22" fillId="24" borderId="47" xfId="0" applyFont="1" applyFill="1" applyBorder="1" applyAlignment="1">
      <alignment horizontal="center" vertical="center" wrapText="1"/>
    </xf>
    <xf numFmtId="0" fontId="22" fillId="24" borderId="12" xfId="0" applyFont="1" applyFill="1" applyBorder="1" applyAlignment="1">
      <alignment horizontal="center" vertical="center" wrapText="1"/>
    </xf>
    <xf numFmtId="0" fontId="22" fillId="24" borderId="29" xfId="0" applyFont="1" applyFill="1" applyBorder="1" applyAlignment="1">
      <alignment horizontal="center" vertical="center" wrapText="1"/>
    </xf>
    <xf numFmtId="0" fontId="22" fillId="24" borderId="119" xfId="0" applyFont="1" applyFill="1" applyBorder="1" applyAlignment="1">
      <alignment horizontal="center" vertical="center" wrapText="1"/>
    </xf>
    <xf numFmtId="0" fontId="22" fillId="24" borderId="120" xfId="0" applyFont="1" applyFill="1" applyBorder="1" applyAlignment="1">
      <alignment horizontal="center" vertical="center" wrapText="1"/>
    </xf>
    <xf numFmtId="0" fontId="22" fillId="24" borderId="123" xfId="0" applyFont="1" applyFill="1" applyBorder="1" applyAlignment="1">
      <alignment horizontal="center" vertical="center" wrapText="1"/>
    </xf>
    <xf numFmtId="0" fontId="94" fillId="0" borderId="0" xfId="0" applyFont="1" applyAlignment="1">
      <alignment horizontal="center" vertical="top" wrapText="1"/>
    </xf>
    <xf numFmtId="0" fontId="22" fillId="0" borderId="153" xfId="0" applyFont="1" applyBorder="1" applyAlignment="1">
      <alignment horizontal="left" vertical="top" wrapText="1"/>
    </xf>
    <xf numFmtId="0" fontId="22" fillId="0" borderId="154" xfId="0" applyFont="1" applyBorder="1" applyAlignment="1">
      <alignment horizontal="left" vertical="top" wrapText="1"/>
    </xf>
    <xf numFmtId="0" fontId="22" fillId="0" borderId="101" xfId="0" applyFont="1" applyBorder="1" applyAlignment="1">
      <alignment horizontal="left" vertical="top" wrapText="1"/>
    </xf>
    <xf numFmtId="0" fontId="2" fillId="0" borderId="116" xfId="0" applyFont="1" applyBorder="1" applyAlignment="1">
      <alignment horizontal="center" vertical="top"/>
    </xf>
  </cellXfs>
  <cellStyles count="72">
    <cellStyle name="20% - Colore 1" xfId="1" builtinId="30" customBuiltin="1"/>
    <cellStyle name="20% - Colore 2" xfId="2" builtinId="34" customBuiltin="1"/>
    <cellStyle name="20% - Colore 3" xfId="3" builtinId="38" customBuiltin="1"/>
    <cellStyle name="20% - Colore 4" xfId="4" builtinId="42" customBuiltin="1"/>
    <cellStyle name="20% - Colore 5" xfId="5" builtinId="46" customBuiltin="1"/>
    <cellStyle name="20% - Colore 6" xfId="6" builtinId="50" customBuiltin="1"/>
    <cellStyle name="40% - Colore 1" xfId="7" builtinId="31" customBuiltin="1"/>
    <cellStyle name="40% - Colore 2" xfId="8" builtinId="35" customBuiltin="1"/>
    <cellStyle name="40% - Colore 3" xfId="9" builtinId="39" customBuiltin="1"/>
    <cellStyle name="40% - Colore 4" xfId="10" builtinId="43" customBuiltin="1"/>
    <cellStyle name="40% - Colore 5" xfId="11" builtinId="47" customBuiltin="1"/>
    <cellStyle name="40% - Colore 6" xfId="12" builtinId="51" customBuiltin="1"/>
    <cellStyle name="60% - Colore 1" xfId="13" builtinId="32" customBuiltin="1"/>
    <cellStyle name="60% - Colore 2" xfId="14" builtinId="36" customBuiltin="1"/>
    <cellStyle name="60% - Colore 3" xfId="15" builtinId="40" customBuiltin="1"/>
    <cellStyle name="60% - Colore 4" xfId="16" builtinId="44" customBuiltin="1"/>
    <cellStyle name="60% - Colore 5" xfId="17" builtinId="48" customBuiltin="1"/>
    <cellStyle name="60% - Colore 6" xfId="18" builtinId="52" customBuiltin="1"/>
    <cellStyle name="Calcolo" xfId="19" builtinId="22" customBuiltin="1"/>
    <cellStyle name="Cella collegata" xfId="20" builtinId="24" customBuiltin="1"/>
    <cellStyle name="Cella da controllare" xfId="21" builtinId="23" customBuiltin="1"/>
    <cellStyle name="Collegamento ipertestuale" xfId="22" builtinId="8"/>
    <cellStyle name="Colore 1" xfId="23" builtinId="29" customBuiltin="1"/>
    <cellStyle name="Colore 2" xfId="24" builtinId="33" customBuiltin="1"/>
    <cellStyle name="Colore 3" xfId="25" builtinId="37" customBuiltin="1"/>
    <cellStyle name="Colore 4" xfId="26" builtinId="41" customBuiltin="1"/>
    <cellStyle name="Colore 5" xfId="27" builtinId="45" customBuiltin="1"/>
    <cellStyle name="Colore 6" xfId="28" builtinId="49" customBuiltin="1"/>
    <cellStyle name="Euro" xfId="29" xr:uid="{00000000-0005-0000-0000-00001C000000}"/>
    <cellStyle name="Input" xfId="30" builtinId="20" customBuiltin="1"/>
    <cellStyle name="Logico" xfId="31" xr:uid="{00000000-0005-0000-0000-00001E000000}"/>
    <cellStyle name="Migliaia" xfId="32" builtinId="3"/>
    <cellStyle name="Migliaia (0)_3tabella15" xfId="33" xr:uid="{00000000-0005-0000-0000-000020000000}"/>
    <cellStyle name="Migliaia 2" xfId="34" xr:uid="{00000000-0005-0000-0000-000021000000}"/>
    <cellStyle name="Neutrale" xfId="35" builtinId="28" customBuiltin="1"/>
    <cellStyle name="Normale" xfId="0" builtinId="0"/>
    <cellStyle name="Normale 2" xfId="36" xr:uid="{00000000-0005-0000-0000-000024000000}"/>
    <cellStyle name="Normale 2 2 2" xfId="37" xr:uid="{00000000-0005-0000-0000-000025000000}"/>
    <cellStyle name="Normale 2 3" xfId="38" xr:uid="{00000000-0005-0000-0000-000026000000}"/>
    <cellStyle name="Normale 3" xfId="39" xr:uid="{00000000-0005-0000-0000-000027000000}"/>
    <cellStyle name="Normale 3 2" xfId="40" xr:uid="{00000000-0005-0000-0000-000028000000}"/>
    <cellStyle name="Normale 4" xfId="41" xr:uid="{00000000-0005-0000-0000-000029000000}"/>
    <cellStyle name="Normale 4 2" xfId="42" xr:uid="{00000000-0005-0000-0000-00002A000000}"/>
    <cellStyle name="Normale 4 3" xfId="43" xr:uid="{00000000-0005-0000-0000-00002B000000}"/>
    <cellStyle name="Normale 5" xfId="44" xr:uid="{00000000-0005-0000-0000-00002C000000}"/>
    <cellStyle name="Normale 8" xfId="45" xr:uid="{00000000-0005-0000-0000-00002D000000}"/>
    <cellStyle name="Normale_ENTI LOCALI  2000" xfId="46" xr:uid="{00000000-0005-0000-0000-00002E000000}"/>
    <cellStyle name="Normale_MINISTERI" xfId="47" xr:uid="{00000000-0005-0000-0000-00002F000000}"/>
    <cellStyle name="Normale_PRINFEL98" xfId="48" xr:uid="{00000000-0005-0000-0000-000030000000}"/>
    <cellStyle name="Normale_Prospetto informativo 2001" xfId="49" xr:uid="{00000000-0005-0000-0000-000031000000}"/>
    <cellStyle name="Normale_tabella 4" xfId="50" xr:uid="{00000000-0005-0000-0000-000032000000}"/>
    <cellStyle name="Normale_tabella 5" xfId="51" xr:uid="{00000000-0005-0000-0000-000033000000}"/>
    <cellStyle name="Normale_tabella 6" xfId="52" xr:uid="{00000000-0005-0000-0000-000034000000}"/>
    <cellStyle name="Normale_tabella 7" xfId="53" xr:uid="{00000000-0005-0000-0000-000035000000}"/>
    <cellStyle name="Normale_tabella 8" xfId="54" xr:uid="{00000000-0005-0000-0000-000036000000}"/>
    <cellStyle name="Normale_tabella 9" xfId="55" xr:uid="{00000000-0005-0000-0000-000037000000}"/>
    <cellStyle name="Nota" xfId="56" builtinId="10" customBuiltin="1"/>
    <cellStyle name="Output" xfId="57" builtinId="21" customBuiltin="1"/>
    <cellStyle name="Percentuale" xfId="58" builtinId="5"/>
    <cellStyle name="Percentuale 2" xfId="59" xr:uid="{00000000-0005-0000-0000-00003B000000}"/>
    <cellStyle name="Percentuale 2 2" xfId="60" xr:uid="{00000000-0005-0000-0000-00003C000000}"/>
    <cellStyle name="Testo avviso" xfId="61" builtinId="11" customBuiltin="1"/>
    <cellStyle name="Testo descrittivo" xfId="62" builtinId="53" customBuiltin="1"/>
    <cellStyle name="Titolo" xfId="63" builtinId="15" customBuiltin="1"/>
    <cellStyle name="Titolo 1" xfId="64" builtinId="16" customBuiltin="1"/>
    <cellStyle name="Titolo 2" xfId="65" builtinId="17" customBuiltin="1"/>
    <cellStyle name="Titolo 3" xfId="66" builtinId="18" customBuiltin="1"/>
    <cellStyle name="Titolo 4" xfId="67" builtinId="19" customBuiltin="1"/>
    <cellStyle name="Totale" xfId="68" builtinId="25" customBuiltin="1"/>
    <cellStyle name="Valore non valido" xfId="69" builtinId="27" customBuiltin="1"/>
    <cellStyle name="Valore valido" xfId="70" builtinId="26" customBuiltin="1"/>
    <cellStyle name="Valuta (0)_3tabella15" xfId="71" xr:uid="{00000000-0005-0000-0000-000047000000}"/>
  </cellStyles>
  <dxfs count="5">
    <dxf>
      <font>
        <color rgb="FFFF0000"/>
      </font>
    </dxf>
    <dxf>
      <font>
        <color rgb="FFFF0000"/>
      </font>
    </dxf>
    <dxf>
      <font>
        <color rgb="FFFF0000"/>
      </font>
    </dxf>
    <dxf>
      <font>
        <color rgb="FFFF0000"/>
      </font>
    </dxf>
    <dxf>
      <fill>
        <patternFill>
          <bgColor theme="9" tint="0.5999633777886288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313197370288698E-3"/>
          <c:y val="0.19917335278385606"/>
          <c:w val="0.99172935714706101"/>
          <c:h val="0.2738633600778021"/>
        </c:manualLayout>
      </c:layout>
      <c:barChart>
        <c:barDir val="col"/>
        <c:grouping val="clustered"/>
        <c:varyColors val="0"/>
        <c:ser>
          <c:idx val="0"/>
          <c:order val="0"/>
          <c:spPr>
            <a:solidFill>
              <a:srgbClr val="000000"/>
            </a:solidFill>
            <a:ln w="12700">
              <a:solidFill>
                <a:srgbClr val="000000"/>
              </a:solidFill>
              <a:prstDash val="solid"/>
            </a:ln>
          </c:spPr>
          <c:invertIfNegative val="0"/>
          <c:cat>
            <c:strRef>
              <c:f>SI_1!$B$222:$B$237</c:f>
              <c:strCache>
                <c:ptCount val="16"/>
                <c:pt idx="0">
                  <c:v>T1</c:v>
                </c:pt>
                <c:pt idx="1">
                  <c:v>T2</c:v>
                </c:pt>
                <c:pt idx="2">
                  <c:v>T2A</c:v>
                </c:pt>
                <c:pt idx="3">
                  <c:v>T3</c:v>
                </c:pt>
                <c:pt idx="4">
                  <c:v>T4</c:v>
                </c:pt>
                <c:pt idx="5">
                  <c:v>T5</c:v>
                </c:pt>
                <c:pt idx="6">
                  <c:v>T6</c:v>
                </c:pt>
                <c:pt idx="7">
                  <c:v>T7</c:v>
                </c:pt>
                <c:pt idx="8">
                  <c:v>T8</c:v>
                </c:pt>
                <c:pt idx="9">
                  <c:v>T9</c:v>
                </c:pt>
                <c:pt idx="10">
                  <c:v>T10</c:v>
                </c:pt>
                <c:pt idx="11">
                  <c:v>T11</c:v>
                </c:pt>
                <c:pt idx="12">
                  <c:v>T12</c:v>
                </c:pt>
                <c:pt idx="13">
                  <c:v>T13</c:v>
                </c:pt>
                <c:pt idx="14">
                  <c:v>T14</c:v>
                </c:pt>
                <c:pt idx="15">
                  <c:v>TRC</c:v>
                </c:pt>
              </c:strCache>
            </c:strRef>
          </c:cat>
          <c:val>
            <c:numRef>
              <c:f>SI_1!$C$222:$C$237</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B49D-4F3D-BFE6-A12619DBE479}"/>
            </c:ext>
          </c:extLst>
        </c:ser>
        <c:dLbls>
          <c:showLegendKey val="0"/>
          <c:showVal val="0"/>
          <c:showCatName val="0"/>
          <c:showSerName val="0"/>
          <c:showPercent val="0"/>
          <c:showBubbleSize val="0"/>
        </c:dLbls>
        <c:gapWidth val="150"/>
        <c:axId val="2123467839"/>
        <c:axId val="1"/>
      </c:barChart>
      <c:catAx>
        <c:axId val="2123467839"/>
        <c:scaling>
          <c:orientation val="minMax"/>
        </c:scaling>
        <c:delete val="0"/>
        <c:axPos val="b"/>
        <c:numFmt formatCode="General" sourceLinked="1"/>
        <c:majorTickMark val="out"/>
        <c:minorTickMark val="none"/>
        <c:tickLblPos val="nextTo"/>
        <c:spPr>
          <a:ln w="9525">
            <a:noFill/>
          </a:ln>
        </c:spPr>
        <c:txPr>
          <a:bodyPr rot="0" vert="horz"/>
          <a:lstStyle/>
          <a:p>
            <a:pPr>
              <a:defRPr sz="800" b="1" i="0" u="none" strike="noStrike" baseline="0">
                <a:solidFill>
                  <a:srgbClr val="000000"/>
                </a:solidFill>
                <a:latin typeface="Arial"/>
                <a:ea typeface="Arial"/>
                <a:cs typeface="Arial"/>
              </a:defRPr>
            </a:pPr>
            <a:endParaRPr lang="it-IT"/>
          </a:p>
        </c:txPr>
        <c:crossAx val="1"/>
        <c:crossesAt val="0"/>
        <c:auto val="1"/>
        <c:lblAlgn val="ctr"/>
        <c:lblOffset val="100"/>
        <c:tickLblSkip val="1"/>
        <c:tickMarkSkip val="1"/>
        <c:noMultiLvlLbl val="0"/>
      </c:catAx>
      <c:valAx>
        <c:axId val="1"/>
        <c:scaling>
          <c:orientation val="minMax"/>
          <c:max val="1"/>
        </c:scaling>
        <c:delete val="1"/>
        <c:axPos val="l"/>
        <c:numFmt formatCode="General" sourceLinked="1"/>
        <c:majorTickMark val="out"/>
        <c:minorTickMark val="none"/>
        <c:tickLblPos val="nextTo"/>
        <c:crossAx val="2123467839"/>
        <c:crosses val="autoZero"/>
        <c:crossBetween val="between"/>
        <c:majorUnit val="1"/>
        <c:minorUnit val="0.04"/>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paperSize="9"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247787610619468E-3"/>
          <c:y val="0.23157894736842105"/>
          <c:w val="0.9699115044247788"/>
          <c:h val="0.38947368421052631"/>
        </c:manualLayout>
      </c:layout>
      <c:barChart>
        <c:barDir val="col"/>
        <c:grouping val="clustered"/>
        <c:varyColors val="0"/>
        <c:ser>
          <c:idx val="0"/>
          <c:order val="0"/>
          <c:spPr>
            <a:solidFill>
              <a:srgbClr val="FF0000"/>
            </a:solidFill>
            <a:ln w="12700">
              <a:solidFill>
                <a:srgbClr val="000000"/>
              </a:solidFill>
              <a:prstDash val="solid"/>
            </a:ln>
          </c:spPr>
          <c:invertIfNegative val="0"/>
          <c:cat>
            <c:strRef>
              <c:f>SI_1!$E$222:$E$236</c:f>
              <c:strCache>
                <c:ptCount val="15"/>
                <c:pt idx="0">
                  <c:v>SQ 1</c:v>
                </c:pt>
                <c:pt idx="1">
                  <c:v>SQ 2</c:v>
                </c:pt>
                <c:pt idx="2">
                  <c:v>SQ 3</c:v>
                </c:pt>
                <c:pt idx="3">
                  <c:v>SQ 4</c:v>
                </c:pt>
                <c:pt idx="4">
                  <c:v>IN 1</c:v>
                </c:pt>
                <c:pt idx="5">
                  <c:v>IN 2</c:v>
                </c:pt>
                <c:pt idx="6">
                  <c:v>IN 4</c:v>
                </c:pt>
                <c:pt idx="7">
                  <c:v>IN 5</c:v>
                </c:pt>
                <c:pt idx="8">
                  <c:v>IN 6</c:v>
                </c:pt>
                <c:pt idx="9">
                  <c:v>IN 7</c:v>
                </c:pt>
                <c:pt idx="10">
                  <c:v>IN 8</c:v>
                </c:pt>
                <c:pt idx="11">
                  <c:v>IN 10</c:v>
                </c:pt>
                <c:pt idx="12">
                  <c:v>IN12</c:v>
                </c:pt>
                <c:pt idx="13">
                  <c:v>IN14</c:v>
                </c:pt>
                <c:pt idx="14">
                  <c:v>IN 17</c:v>
                </c:pt>
              </c:strCache>
            </c:strRef>
          </c:cat>
          <c:val>
            <c:numRef>
              <c:f>SI_1!$F$222:$F$236</c:f>
              <c:numCache>
                <c:formatCode>General</c:formatCode>
                <c:ptCount val="15"/>
                <c:pt idx="0">
                  <c:v>0</c:v>
                </c:pt>
                <c:pt idx="1">
                  <c:v>0</c:v>
                </c:pt>
                <c:pt idx="2">
                  <c:v>0</c:v>
                </c:pt>
                <c:pt idx="3">
                  <c:v>0</c:v>
                </c:pt>
                <c:pt idx="4">
                  <c:v>0</c:v>
                </c:pt>
                <c:pt idx="5">
                  <c:v>0</c:v>
                </c:pt>
                <c:pt idx="6">
                  <c:v>0</c:v>
                </c:pt>
                <c:pt idx="7">
                  <c:v>0</c:v>
                </c:pt>
                <c:pt idx="8">
                  <c:v>0</c:v>
                </c:pt>
                <c:pt idx="9">
                  <c:v>0</c:v>
                </c:pt>
                <c:pt idx="10">
                  <c:v>0</c:v>
                </c:pt>
                <c:pt idx="11" formatCode="General_)">
                  <c:v>0</c:v>
                </c:pt>
                <c:pt idx="12">
                  <c:v>0</c:v>
                </c:pt>
                <c:pt idx="13">
                  <c:v>0</c:v>
                </c:pt>
                <c:pt idx="14" formatCode="General_)">
                  <c:v>0</c:v>
                </c:pt>
              </c:numCache>
            </c:numRef>
          </c:val>
          <c:extLst>
            <c:ext xmlns:c16="http://schemas.microsoft.com/office/drawing/2014/chart" uri="{C3380CC4-5D6E-409C-BE32-E72D297353CC}">
              <c16:uniqueId val="{00000000-DEDB-425F-9212-D6A1805129BE}"/>
            </c:ext>
          </c:extLst>
        </c:ser>
        <c:dLbls>
          <c:showLegendKey val="0"/>
          <c:showVal val="0"/>
          <c:showCatName val="0"/>
          <c:showSerName val="0"/>
          <c:showPercent val="0"/>
          <c:showBubbleSize val="0"/>
        </c:dLbls>
        <c:gapWidth val="150"/>
        <c:axId val="2123469759"/>
        <c:axId val="1"/>
      </c:barChart>
      <c:catAx>
        <c:axId val="2123469759"/>
        <c:scaling>
          <c:orientation val="minMax"/>
        </c:scaling>
        <c:delete val="0"/>
        <c:axPos val="b"/>
        <c:numFmt formatCode="General" sourceLinked="1"/>
        <c:majorTickMark val="out"/>
        <c:minorTickMark val="none"/>
        <c:tickLblPos val="nextTo"/>
        <c:spPr>
          <a:ln w="9525">
            <a:noFill/>
          </a:ln>
        </c:spPr>
        <c:txPr>
          <a:bodyPr rot="0" vert="horz"/>
          <a:lstStyle/>
          <a:p>
            <a:pPr>
              <a:defRPr sz="800" b="1" i="0" u="none" strike="noStrike" baseline="0">
                <a:solidFill>
                  <a:srgbClr val="000000"/>
                </a:solidFill>
                <a:latin typeface="Arial"/>
                <a:ea typeface="Arial"/>
                <a:cs typeface="Arial"/>
              </a:defRPr>
            </a:pPr>
            <a:endParaRPr lang="it-IT"/>
          </a:p>
        </c:txPr>
        <c:crossAx val="1"/>
        <c:crosses val="autoZero"/>
        <c:auto val="1"/>
        <c:lblAlgn val="ctr"/>
        <c:lblOffset val="100"/>
        <c:tickLblSkip val="1"/>
        <c:tickMarkSkip val="1"/>
        <c:noMultiLvlLbl val="0"/>
      </c:catAx>
      <c:valAx>
        <c:axId val="1"/>
        <c:scaling>
          <c:orientation val="minMax"/>
        </c:scaling>
        <c:delete val="1"/>
        <c:axPos val="l"/>
        <c:numFmt formatCode="General" sourceLinked="1"/>
        <c:majorTickMark val="out"/>
        <c:minorTickMark val="none"/>
        <c:tickLblPos val="nextTo"/>
        <c:crossAx val="2123469759"/>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paperSize="9" orientation="landscape" horizontalDpi="0" verticalDpi="0"/>
  </c:printSettings>
</c:chartSpace>
</file>

<file path=xl/ctrlProps/ctrlProp1.xml><?xml version="1.0" encoding="utf-8"?>
<formControlPr xmlns="http://schemas.microsoft.com/office/spreadsheetml/2009/9/main" objectType="Drop" dropStyle="combo" dx="26" fmlaLink="$AK$3" fmlaRange="$AK$1:$AK$2" noThreeD="1" sel="2" val="0"/>
</file>

<file path=xl/ctrlProps/ctrlProp2.xml><?xml version="1.0" encoding="utf-8"?>
<formControlPr xmlns="http://schemas.microsoft.com/office/spreadsheetml/2009/9/main" objectType="Drop" dropStyle="combo" dx="26" fmlaLink="$G$22" fmlaRange="$G$20:$G$21" noThreeD="1" sel="2" val="0"/>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216</xdr:row>
      <xdr:rowOff>0</xdr:rowOff>
    </xdr:from>
    <xdr:to>
      <xdr:col>4</xdr:col>
      <xdr:colOff>99060</xdr:colOff>
      <xdr:row>216</xdr:row>
      <xdr:rowOff>190500</xdr:rowOff>
    </xdr:to>
    <xdr:sp macro="" textlink="">
      <xdr:nvSpPr>
        <xdr:cNvPr id="2273820" name="Text Box 7">
          <a:extLst>
            <a:ext uri="{FF2B5EF4-FFF2-40B4-BE49-F238E27FC236}">
              <a16:creationId xmlns:a16="http://schemas.microsoft.com/office/drawing/2014/main" id="{00000000-0008-0000-0000-00001CB22200}"/>
            </a:ext>
          </a:extLst>
        </xdr:cNvPr>
        <xdr:cNvSpPr txBox="1">
          <a:spLocks noChangeArrowheads="1"/>
        </xdr:cNvSpPr>
      </xdr:nvSpPr>
      <xdr:spPr bwMode="auto">
        <a:xfrm>
          <a:off x="4472940" y="15971520"/>
          <a:ext cx="9906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579120</xdr:colOff>
      <xdr:row>31</xdr:row>
      <xdr:rowOff>0</xdr:rowOff>
    </xdr:from>
    <xdr:to>
      <xdr:col>3</xdr:col>
      <xdr:colOff>579120</xdr:colOff>
      <xdr:row>31</xdr:row>
      <xdr:rowOff>0</xdr:rowOff>
    </xdr:to>
    <xdr:sp macro="" textlink="">
      <xdr:nvSpPr>
        <xdr:cNvPr id="2273821" name="Line 8">
          <a:extLst>
            <a:ext uri="{FF2B5EF4-FFF2-40B4-BE49-F238E27FC236}">
              <a16:creationId xmlns:a16="http://schemas.microsoft.com/office/drawing/2014/main" id="{00000000-0008-0000-0000-00001DB22200}"/>
            </a:ext>
          </a:extLst>
        </xdr:cNvPr>
        <xdr:cNvSpPr>
          <a:spLocks noChangeShapeType="1"/>
        </xdr:cNvSpPr>
      </xdr:nvSpPr>
      <xdr:spPr bwMode="auto">
        <a:xfrm>
          <a:off x="3962400" y="67589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640080</xdr:colOff>
      <xdr:row>31</xdr:row>
      <xdr:rowOff>0</xdr:rowOff>
    </xdr:from>
    <xdr:to>
      <xdr:col>5</xdr:col>
      <xdr:colOff>640080</xdr:colOff>
      <xdr:row>31</xdr:row>
      <xdr:rowOff>0</xdr:rowOff>
    </xdr:to>
    <xdr:sp macro="" textlink="">
      <xdr:nvSpPr>
        <xdr:cNvPr id="2273822" name="Line 9">
          <a:extLst>
            <a:ext uri="{FF2B5EF4-FFF2-40B4-BE49-F238E27FC236}">
              <a16:creationId xmlns:a16="http://schemas.microsoft.com/office/drawing/2014/main" id="{00000000-0008-0000-0000-00001EB22200}"/>
            </a:ext>
          </a:extLst>
        </xdr:cNvPr>
        <xdr:cNvSpPr>
          <a:spLocks noChangeShapeType="1"/>
        </xdr:cNvSpPr>
      </xdr:nvSpPr>
      <xdr:spPr bwMode="auto">
        <a:xfrm>
          <a:off x="7284720" y="67589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xdr:colOff>
      <xdr:row>216</xdr:row>
      <xdr:rowOff>0</xdr:rowOff>
    </xdr:from>
    <xdr:to>
      <xdr:col>7</xdr:col>
      <xdr:colOff>0</xdr:colOff>
      <xdr:row>217</xdr:row>
      <xdr:rowOff>114300</xdr:rowOff>
    </xdr:to>
    <xdr:graphicFrame macro="">
      <xdr:nvGraphicFramePr>
        <xdr:cNvPr id="2273823" name="Chart 19">
          <a:extLst>
            <a:ext uri="{FF2B5EF4-FFF2-40B4-BE49-F238E27FC236}">
              <a16:creationId xmlns:a16="http://schemas.microsoft.com/office/drawing/2014/main" id="{00000000-0008-0000-0000-00001FB22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342900</xdr:colOff>
      <xdr:row>218</xdr:row>
      <xdr:rowOff>15240</xdr:rowOff>
    </xdr:from>
    <xdr:to>
      <xdr:col>6</xdr:col>
      <xdr:colOff>1371600</xdr:colOff>
      <xdr:row>220</xdr:row>
      <xdr:rowOff>129540</xdr:rowOff>
    </xdr:to>
    <xdr:graphicFrame macro="">
      <xdr:nvGraphicFramePr>
        <xdr:cNvPr id="2273824" name="Chart 20">
          <a:extLst>
            <a:ext uri="{FF2B5EF4-FFF2-40B4-BE49-F238E27FC236}">
              <a16:creationId xmlns:a16="http://schemas.microsoft.com/office/drawing/2014/main" id="{00000000-0008-0000-0000-000020B22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331470</xdr:colOff>
      <xdr:row>0</xdr:row>
      <xdr:rowOff>53975</xdr:rowOff>
    </xdr:from>
    <xdr:to>
      <xdr:col>6</xdr:col>
      <xdr:colOff>1322027</xdr:colOff>
      <xdr:row>0</xdr:row>
      <xdr:rowOff>533486</xdr:rowOff>
    </xdr:to>
    <xdr:sp macro="" textlink="">
      <xdr:nvSpPr>
        <xdr:cNvPr id="63612" name="Testo 1">
          <a:extLst>
            <a:ext uri="{FF2B5EF4-FFF2-40B4-BE49-F238E27FC236}">
              <a16:creationId xmlns:a16="http://schemas.microsoft.com/office/drawing/2014/main" id="{00000000-0008-0000-0000-00007CF80000}"/>
            </a:ext>
          </a:extLst>
        </xdr:cNvPr>
        <xdr:cNvSpPr>
          <a:spLocks noChangeArrowheads="1"/>
        </xdr:cNvSpPr>
      </xdr:nvSpPr>
      <xdr:spPr bwMode="auto">
        <a:xfrm>
          <a:off x="352425" y="66675"/>
          <a:ext cx="9763125" cy="466725"/>
        </a:xfrm>
        <a:prstGeom prst="roundRect">
          <a:avLst>
            <a:gd name="adj" fmla="val 16667"/>
          </a:avLst>
        </a:prstGeom>
        <a:solidFill>
          <a:srgbClr val="C0C0C0"/>
        </a:solidFill>
        <a:ln w="9525">
          <a:solidFill>
            <a:srgbClr val="000000"/>
          </a:solidFill>
          <a:round/>
          <a:headEnd/>
          <a:tailEnd/>
        </a:ln>
        <a:effectLst>
          <a:outerShdw dist="35921" dir="2700000" algn="ctr" rotWithShape="0">
            <a:srgbClr val="000000"/>
          </a:outerShdw>
        </a:effectLst>
      </xdr:spPr>
      <xdr:txBody>
        <a:bodyPr vertOverflow="clip" wrap="square" lIns="45720" tIns="36576" rIns="45720" bIns="36576" anchor="ctr" upright="1"/>
        <a:lstStyle/>
        <a:p>
          <a:pPr algn="ctr" rtl="0">
            <a:defRPr sz="1000"/>
          </a:pPr>
          <a:r>
            <a:rPr lang="it-IT" sz="1800" b="1" i="0" strike="noStrike">
              <a:solidFill>
                <a:srgbClr val="000000"/>
              </a:solidFill>
              <a:latin typeface="Arial"/>
              <a:cs typeface="Arial"/>
            </a:rPr>
            <a:t>Scheda Informativa 1: INFORMAZIONI  DI CARATTERE GENERALE</a:t>
          </a:r>
        </a:p>
      </xdr:txBody>
    </xdr:sp>
    <xdr:clientData/>
  </xdr:twoCellAnchor>
  <xdr:twoCellAnchor>
    <xdr:from>
      <xdr:col>3</xdr:col>
      <xdr:colOff>579120</xdr:colOff>
      <xdr:row>37</xdr:row>
      <xdr:rowOff>0</xdr:rowOff>
    </xdr:from>
    <xdr:to>
      <xdr:col>3</xdr:col>
      <xdr:colOff>579120</xdr:colOff>
      <xdr:row>37</xdr:row>
      <xdr:rowOff>0</xdr:rowOff>
    </xdr:to>
    <xdr:sp macro="" textlink="">
      <xdr:nvSpPr>
        <xdr:cNvPr id="2273826" name="Line 8">
          <a:extLst>
            <a:ext uri="{FF2B5EF4-FFF2-40B4-BE49-F238E27FC236}">
              <a16:creationId xmlns:a16="http://schemas.microsoft.com/office/drawing/2014/main" id="{00000000-0008-0000-0000-000022B22200}"/>
            </a:ext>
          </a:extLst>
        </xdr:cNvPr>
        <xdr:cNvSpPr>
          <a:spLocks noChangeShapeType="1"/>
        </xdr:cNvSpPr>
      </xdr:nvSpPr>
      <xdr:spPr bwMode="auto">
        <a:xfrm>
          <a:off x="3962400" y="803148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640080</xdr:colOff>
      <xdr:row>37</xdr:row>
      <xdr:rowOff>0</xdr:rowOff>
    </xdr:from>
    <xdr:to>
      <xdr:col>5</xdr:col>
      <xdr:colOff>640080</xdr:colOff>
      <xdr:row>37</xdr:row>
      <xdr:rowOff>0</xdr:rowOff>
    </xdr:to>
    <xdr:sp macro="" textlink="">
      <xdr:nvSpPr>
        <xdr:cNvPr id="2273827" name="Line 9">
          <a:extLst>
            <a:ext uri="{FF2B5EF4-FFF2-40B4-BE49-F238E27FC236}">
              <a16:creationId xmlns:a16="http://schemas.microsoft.com/office/drawing/2014/main" id="{00000000-0008-0000-0000-000023B22200}"/>
            </a:ext>
          </a:extLst>
        </xdr:cNvPr>
        <xdr:cNvSpPr>
          <a:spLocks noChangeShapeType="1"/>
        </xdr:cNvSpPr>
      </xdr:nvSpPr>
      <xdr:spPr bwMode="auto">
        <a:xfrm>
          <a:off x="7284720" y="803148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579120</xdr:colOff>
      <xdr:row>31</xdr:row>
      <xdr:rowOff>0</xdr:rowOff>
    </xdr:from>
    <xdr:to>
      <xdr:col>3</xdr:col>
      <xdr:colOff>579120</xdr:colOff>
      <xdr:row>31</xdr:row>
      <xdr:rowOff>0</xdr:rowOff>
    </xdr:to>
    <xdr:sp macro="" textlink="">
      <xdr:nvSpPr>
        <xdr:cNvPr id="2273828" name="Line 8">
          <a:extLst>
            <a:ext uri="{FF2B5EF4-FFF2-40B4-BE49-F238E27FC236}">
              <a16:creationId xmlns:a16="http://schemas.microsoft.com/office/drawing/2014/main" id="{00000000-0008-0000-0000-000024B22200}"/>
            </a:ext>
          </a:extLst>
        </xdr:cNvPr>
        <xdr:cNvSpPr>
          <a:spLocks noChangeShapeType="1"/>
        </xdr:cNvSpPr>
      </xdr:nvSpPr>
      <xdr:spPr bwMode="auto">
        <a:xfrm>
          <a:off x="3962400" y="67589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640080</xdr:colOff>
      <xdr:row>31</xdr:row>
      <xdr:rowOff>0</xdr:rowOff>
    </xdr:from>
    <xdr:to>
      <xdr:col>5</xdr:col>
      <xdr:colOff>640080</xdr:colOff>
      <xdr:row>31</xdr:row>
      <xdr:rowOff>0</xdr:rowOff>
    </xdr:to>
    <xdr:sp macro="" textlink="">
      <xdr:nvSpPr>
        <xdr:cNvPr id="2273829" name="Line 9">
          <a:extLst>
            <a:ext uri="{FF2B5EF4-FFF2-40B4-BE49-F238E27FC236}">
              <a16:creationId xmlns:a16="http://schemas.microsoft.com/office/drawing/2014/main" id="{00000000-0008-0000-0000-000025B22200}"/>
            </a:ext>
          </a:extLst>
        </xdr:cNvPr>
        <xdr:cNvSpPr>
          <a:spLocks noChangeShapeType="1"/>
        </xdr:cNvSpPr>
      </xdr:nvSpPr>
      <xdr:spPr bwMode="auto">
        <a:xfrm>
          <a:off x="7284720" y="67589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29845</xdr:rowOff>
    </xdr:from>
    <xdr:to>
      <xdr:col>12</xdr:col>
      <xdr:colOff>36198</xdr:colOff>
      <xdr:row>1</xdr:row>
      <xdr:rowOff>266995</xdr:rowOff>
    </xdr:to>
    <xdr:sp macro="" textlink="">
      <xdr:nvSpPr>
        <xdr:cNvPr id="22529" name="Testo 13">
          <a:extLst>
            <a:ext uri="{FF2B5EF4-FFF2-40B4-BE49-F238E27FC236}">
              <a16:creationId xmlns:a16="http://schemas.microsoft.com/office/drawing/2014/main" id="{00000000-0008-0000-0900-000001580000}"/>
            </a:ext>
          </a:extLst>
        </xdr:cNvPr>
        <xdr:cNvSpPr txBox="1">
          <a:spLocks noChangeArrowheads="1"/>
        </xdr:cNvSpPr>
      </xdr:nvSpPr>
      <xdr:spPr bwMode="auto">
        <a:xfrm>
          <a:off x="0" y="581025"/>
          <a:ext cx="7743825" cy="23812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8</a:t>
          </a:r>
          <a:r>
            <a:rPr lang="it-IT" sz="800" b="1" i="0" strike="noStrike">
              <a:solidFill>
                <a:srgbClr val="000000"/>
              </a:solidFill>
              <a:latin typeface="Arial"/>
              <a:cs typeface="Arial"/>
            </a:rPr>
            <a:t> </a:t>
          </a:r>
          <a:r>
            <a:rPr lang="it-IT" sz="800" b="0" i="0" strike="noStrike">
              <a:solidFill>
                <a:srgbClr val="000000"/>
              </a:solidFill>
              <a:latin typeface="Arial"/>
              <a:cs typeface="Arial"/>
            </a:rPr>
            <a:t>- </a:t>
          </a:r>
          <a:r>
            <a:rPr lang="it-IT" sz="900" b="0" i="0" strike="noStrike">
              <a:solidFill>
                <a:srgbClr val="000000"/>
              </a:solidFill>
              <a:latin typeface="Arial"/>
              <a:cs typeface="Arial"/>
            </a:rPr>
            <a:t>Personale a tempo indeterminato e personale dirigente distribuito per classi di età al 31 dicembre </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xdr:row>
      <xdr:rowOff>38100</xdr:rowOff>
    </xdr:from>
    <xdr:to>
      <xdr:col>8</xdr:col>
      <xdr:colOff>297235</xdr:colOff>
      <xdr:row>2</xdr:row>
      <xdr:rowOff>289002</xdr:rowOff>
    </xdr:to>
    <xdr:sp macro="" textlink="">
      <xdr:nvSpPr>
        <xdr:cNvPr id="21505" name="Testo 2">
          <a:extLst>
            <a:ext uri="{FF2B5EF4-FFF2-40B4-BE49-F238E27FC236}">
              <a16:creationId xmlns:a16="http://schemas.microsoft.com/office/drawing/2014/main" id="{00000000-0008-0000-0A00-000001540000}"/>
            </a:ext>
          </a:extLst>
        </xdr:cNvPr>
        <xdr:cNvSpPr txBox="1">
          <a:spLocks noChangeArrowheads="1"/>
        </xdr:cNvSpPr>
      </xdr:nvSpPr>
      <xdr:spPr bwMode="auto">
        <a:xfrm>
          <a:off x="0" y="647700"/>
          <a:ext cx="7315200" cy="25717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9 - </a:t>
          </a:r>
          <a:r>
            <a:rPr lang="it-IT" sz="900" b="0" i="0" strike="noStrike">
              <a:solidFill>
                <a:srgbClr val="000000"/>
              </a:solidFill>
              <a:latin typeface="Arial"/>
              <a:cs typeface="Arial"/>
            </a:rPr>
            <a:t>Personale dipendente a tempo indeterminato e personale dirigente distribuito per titolo di studio posseduto al 31 dicembre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1</xdr:row>
      <xdr:rowOff>38100</xdr:rowOff>
    </xdr:from>
    <xdr:to>
      <xdr:col>14</xdr:col>
      <xdr:colOff>0</xdr:colOff>
      <xdr:row>1</xdr:row>
      <xdr:rowOff>289002</xdr:rowOff>
    </xdr:to>
    <xdr:sp macro="" textlink="">
      <xdr:nvSpPr>
        <xdr:cNvPr id="35842" name="Testo 9">
          <a:extLst>
            <a:ext uri="{FF2B5EF4-FFF2-40B4-BE49-F238E27FC236}">
              <a16:creationId xmlns:a16="http://schemas.microsoft.com/office/drawing/2014/main" id="{00000000-0008-0000-0B00-0000028C0000}"/>
            </a:ext>
          </a:extLst>
        </xdr:cNvPr>
        <xdr:cNvSpPr txBox="1">
          <a:spLocks noChangeArrowheads="1"/>
        </xdr:cNvSpPr>
      </xdr:nvSpPr>
      <xdr:spPr bwMode="auto">
        <a:xfrm>
          <a:off x="2619375" y="590550"/>
          <a:ext cx="5372100" cy="25717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27432" anchor="ctr" upright="1"/>
        <a:lstStyle/>
        <a:p>
          <a:pPr algn="l" rtl="0">
            <a:defRPr sz="1000"/>
          </a:pPr>
          <a:r>
            <a:rPr lang="it-IT" sz="1200" b="1" i="0" strike="noStrike">
              <a:solidFill>
                <a:srgbClr val="000000"/>
              </a:solidFill>
              <a:latin typeface="Arial"/>
              <a:cs typeface="Arial"/>
            </a:rPr>
            <a:t>Tabella 10</a:t>
          </a:r>
          <a:r>
            <a:rPr lang="it-IT" sz="900" b="1" i="0" strike="noStrike">
              <a:solidFill>
                <a:srgbClr val="000000"/>
              </a:solidFill>
              <a:latin typeface="Arial"/>
              <a:cs typeface="Arial"/>
            </a:rPr>
            <a:t> </a:t>
          </a:r>
          <a:r>
            <a:rPr lang="it-IT" sz="900" b="0" i="0" strike="noStrike">
              <a:solidFill>
                <a:srgbClr val="000000"/>
              </a:solidFill>
              <a:latin typeface="Arial"/>
              <a:cs typeface="Arial"/>
            </a:rPr>
            <a:t>Personale  in servizio al 31 dicembre  distribuito per Regioni e all'estero.</a:t>
          </a:r>
        </a:p>
      </xdr:txBody>
    </xdr:sp>
    <xdr:clientData/>
  </xdr:twoCellAnchor>
  <xdr:twoCellAnchor>
    <xdr:from>
      <xdr:col>26</xdr:col>
      <xdr:colOff>0</xdr:colOff>
      <xdr:row>1</xdr:row>
      <xdr:rowOff>38100</xdr:rowOff>
    </xdr:from>
    <xdr:to>
      <xdr:col>37</xdr:col>
      <xdr:colOff>34310</xdr:colOff>
      <xdr:row>1</xdr:row>
      <xdr:rowOff>289002</xdr:rowOff>
    </xdr:to>
    <xdr:sp macro="" textlink="">
      <xdr:nvSpPr>
        <xdr:cNvPr id="35847" name="Testo 9">
          <a:extLst>
            <a:ext uri="{FF2B5EF4-FFF2-40B4-BE49-F238E27FC236}">
              <a16:creationId xmlns:a16="http://schemas.microsoft.com/office/drawing/2014/main" id="{00000000-0008-0000-0B00-0000078C0000}"/>
            </a:ext>
          </a:extLst>
        </xdr:cNvPr>
        <xdr:cNvSpPr txBox="1">
          <a:spLocks noChangeArrowheads="1"/>
        </xdr:cNvSpPr>
      </xdr:nvSpPr>
      <xdr:spPr bwMode="auto">
        <a:xfrm>
          <a:off x="13363575" y="590550"/>
          <a:ext cx="5372100" cy="25717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27432" anchor="ctr" upright="1"/>
        <a:lstStyle/>
        <a:p>
          <a:pPr algn="l" rtl="0">
            <a:defRPr sz="1000"/>
          </a:pPr>
          <a:r>
            <a:rPr lang="it-IT" sz="1200" b="1" i="0" strike="noStrike">
              <a:solidFill>
                <a:srgbClr val="000000"/>
              </a:solidFill>
              <a:latin typeface="Arial"/>
              <a:cs typeface="Arial"/>
            </a:rPr>
            <a:t>Tabella 10</a:t>
          </a:r>
          <a:r>
            <a:rPr lang="it-IT" sz="900" b="1" i="0" strike="noStrike">
              <a:solidFill>
                <a:srgbClr val="000000"/>
              </a:solidFill>
              <a:latin typeface="Arial"/>
              <a:cs typeface="Arial"/>
            </a:rPr>
            <a:t> </a:t>
          </a:r>
          <a:r>
            <a:rPr lang="it-IT" sz="900" b="0" i="0" strike="noStrike">
              <a:solidFill>
                <a:srgbClr val="000000"/>
              </a:solidFill>
              <a:latin typeface="Arial"/>
              <a:cs typeface="Arial"/>
            </a:rPr>
            <a:t>Personale  in servizio al 31 dicembre  distribuito per Regioni e all'estero.</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xdr:row>
      <xdr:rowOff>22225</xdr:rowOff>
    </xdr:from>
    <xdr:to>
      <xdr:col>31</xdr:col>
      <xdr:colOff>74944</xdr:colOff>
      <xdr:row>1</xdr:row>
      <xdr:rowOff>285829</xdr:rowOff>
    </xdr:to>
    <xdr:sp macro="" textlink="">
      <xdr:nvSpPr>
        <xdr:cNvPr id="60417" name="Testo 3">
          <a:extLst>
            <a:ext uri="{FF2B5EF4-FFF2-40B4-BE49-F238E27FC236}">
              <a16:creationId xmlns:a16="http://schemas.microsoft.com/office/drawing/2014/main" id="{00000000-0008-0000-0C00-000001EC0000}"/>
            </a:ext>
          </a:extLst>
        </xdr:cNvPr>
        <xdr:cNvSpPr txBox="1">
          <a:spLocks noChangeArrowheads="1"/>
        </xdr:cNvSpPr>
      </xdr:nvSpPr>
      <xdr:spPr bwMode="auto">
        <a:xfrm>
          <a:off x="0" y="577215"/>
          <a:ext cx="5562600" cy="25717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11</a:t>
          </a:r>
          <a:r>
            <a:rPr lang="it-IT" sz="900" b="1" i="0" strike="noStrike">
              <a:solidFill>
                <a:srgbClr val="000000"/>
              </a:solidFill>
              <a:latin typeface="Arial"/>
              <a:cs typeface="Arial"/>
            </a:rPr>
            <a:t> </a:t>
          </a:r>
          <a:r>
            <a:rPr lang="it-IT" sz="900" b="0" i="0" strike="noStrike">
              <a:solidFill>
                <a:srgbClr val="000000"/>
              </a:solidFill>
              <a:latin typeface="Arial"/>
              <a:cs typeface="Arial"/>
            </a:rPr>
            <a:t>- Numero giorni di assenza del personale in servizio nel corso dell'anno</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1</xdr:row>
      <xdr:rowOff>38100</xdr:rowOff>
    </xdr:from>
    <xdr:to>
      <xdr:col>31</xdr:col>
      <xdr:colOff>510055</xdr:colOff>
      <xdr:row>1</xdr:row>
      <xdr:rowOff>269959</xdr:rowOff>
    </xdr:to>
    <xdr:sp macro="" textlink="">
      <xdr:nvSpPr>
        <xdr:cNvPr id="32769" name="Testo 3">
          <a:extLst>
            <a:ext uri="{FF2B5EF4-FFF2-40B4-BE49-F238E27FC236}">
              <a16:creationId xmlns:a16="http://schemas.microsoft.com/office/drawing/2014/main" id="{00000000-0008-0000-0D00-000001800000}"/>
            </a:ext>
          </a:extLst>
        </xdr:cNvPr>
        <xdr:cNvSpPr txBox="1">
          <a:spLocks noChangeArrowheads="1"/>
        </xdr:cNvSpPr>
      </xdr:nvSpPr>
      <xdr:spPr bwMode="auto">
        <a:xfrm>
          <a:off x="0" y="457200"/>
          <a:ext cx="6614160" cy="23812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12 </a:t>
          </a:r>
          <a:r>
            <a:rPr lang="it-IT" sz="1200" b="0" i="0" strike="noStrike">
              <a:solidFill>
                <a:srgbClr val="000000"/>
              </a:solidFill>
              <a:latin typeface="Arial"/>
              <a:cs typeface="Arial"/>
            </a:rPr>
            <a:t>-</a:t>
          </a:r>
          <a:r>
            <a:rPr lang="it-IT" sz="1200" b="1" i="0" strike="noStrike">
              <a:solidFill>
                <a:srgbClr val="000000"/>
              </a:solidFill>
              <a:latin typeface="Arial"/>
              <a:cs typeface="Arial"/>
            </a:rPr>
            <a:t> </a:t>
          </a:r>
          <a:r>
            <a:rPr lang="it-IT" sz="800" b="0" i="0" strike="noStrike">
              <a:solidFill>
                <a:srgbClr val="000000"/>
              </a:solidFill>
              <a:latin typeface="Arial"/>
              <a:cs typeface="Arial"/>
            </a:rPr>
            <a:t> </a:t>
          </a:r>
          <a:r>
            <a:rPr lang="it-IT" sz="1000" b="0" i="0" strike="noStrike">
              <a:solidFill>
                <a:srgbClr val="000000"/>
              </a:solidFill>
              <a:latin typeface="Arial"/>
              <a:cs typeface="Arial"/>
            </a:rPr>
            <a:t>oneri annui  per voci retributive a carattere "stipendiale" corrisposte al personale  in servizio (*)</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xdr:row>
      <xdr:rowOff>47625</xdr:rowOff>
    </xdr:from>
    <xdr:to>
      <xdr:col>30</xdr:col>
      <xdr:colOff>7629</xdr:colOff>
      <xdr:row>1</xdr:row>
      <xdr:rowOff>269875</xdr:rowOff>
    </xdr:to>
    <xdr:sp macro="" textlink="">
      <xdr:nvSpPr>
        <xdr:cNvPr id="31745" name="Testo 3">
          <a:extLst>
            <a:ext uri="{FF2B5EF4-FFF2-40B4-BE49-F238E27FC236}">
              <a16:creationId xmlns:a16="http://schemas.microsoft.com/office/drawing/2014/main" id="{00000000-0008-0000-0E00-0000017C0000}"/>
            </a:ext>
          </a:extLst>
        </xdr:cNvPr>
        <xdr:cNvSpPr txBox="1">
          <a:spLocks noChangeArrowheads="1"/>
        </xdr:cNvSpPr>
      </xdr:nvSpPr>
      <xdr:spPr bwMode="auto">
        <a:xfrm>
          <a:off x="0" y="649605"/>
          <a:ext cx="6682740" cy="228600"/>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13 </a:t>
          </a:r>
          <a:r>
            <a:rPr lang="it-IT" sz="1200" b="0" i="0" strike="noStrike">
              <a:solidFill>
                <a:srgbClr val="000000"/>
              </a:solidFill>
              <a:latin typeface="Arial"/>
              <a:cs typeface="Arial"/>
            </a:rPr>
            <a:t>- </a:t>
          </a:r>
          <a:r>
            <a:rPr lang="it-IT" sz="1000" b="0" i="0" strike="noStrike">
              <a:solidFill>
                <a:srgbClr val="000000"/>
              </a:solidFill>
              <a:latin typeface="Arial"/>
              <a:cs typeface="Arial"/>
            </a:rPr>
            <a:t>oneri annui per indennità e compensi accessori corrisposti  al personale  in servizio (*)</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xdr:row>
      <xdr:rowOff>38100</xdr:rowOff>
    </xdr:from>
    <xdr:to>
      <xdr:col>0</xdr:col>
      <xdr:colOff>4339964</xdr:colOff>
      <xdr:row>1</xdr:row>
      <xdr:rowOff>266700</xdr:rowOff>
    </xdr:to>
    <xdr:sp macro="" textlink="">
      <xdr:nvSpPr>
        <xdr:cNvPr id="41986" name="Testo 4">
          <a:extLst>
            <a:ext uri="{FF2B5EF4-FFF2-40B4-BE49-F238E27FC236}">
              <a16:creationId xmlns:a16="http://schemas.microsoft.com/office/drawing/2014/main" id="{00000000-0008-0000-0F00-000002A40000}"/>
            </a:ext>
          </a:extLst>
        </xdr:cNvPr>
        <xdr:cNvSpPr txBox="1">
          <a:spLocks noChangeArrowheads="1"/>
        </xdr:cNvSpPr>
      </xdr:nvSpPr>
      <xdr:spPr bwMode="auto">
        <a:xfrm>
          <a:off x="0" y="590550"/>
          <a:ext cx="4667250" cy="228600"/>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14</a:t>
          </a:r>
          <a:r>
            <a:rPr lang="it-IT" sz="800" b="0" i="0" strike="noStrike">
              <a:solidFill>
                <a:srgbClr val="000000"/>
              </a:solidFill>
              <a:latin typeface="Arial"/>
              <a:cs typeface="Arial"/>
            </a:rPr>
            <a:t> -  </a:t>
          </a:r>
          <a:r>
            <a:rPr lang="it-IT" sz="1000" b="0" i="0" strike="noStrike">
              <a:solidFill>
                <a:srgbClr val="000000"/>
              </a:solidFill>
              <a:latin typeface="Arial"/>
              <a:cs typeface="Arial"/>
            </a:rPr>
            <a:t>Altri oneri che concorrono a formare il costo del lavoro  (*)</a:t>
          </a:r>
        </a:p>
      </xdr:txBody>
    </xdr:sp>
    <xdr:clientData/>
  </xdr:twoCellAnchor>
  <mc:AlternateContent xmlns:mc="http://schemas.openxmlformats.org/markup-compatibility/2006">
    <mc:Choice xmlns:a14="http://schemas.microsoft.com/office/drawing/2010/main" Requires="a14">
      <xdr:twoCellAnchor editAs="oneCell">
        <xdr:from>
          <xdr:col>4</xdr:col>
          <xdr:colOff>38100</xdr:colOff>
          <xdr:row>21</xdr:row>
          <xdr:rowOff>66675</xdr:rowOff>
        </xdr:from>
        <xdr:to>
          <xdr:col>5</xdr:col>
          <xdr:colOff>0</xdr:colOff>
          <xdr:row>21</xdr:row>
          <xdr:rowOff>257175</xdr:rowOff>
        </xdr:to>
        <xdr:sp macro="" textlink="">
          <xdr:nvSpPr>
            <xdr:cNvPr id="42912" name="Drop Down 928" descr="No" hidden="1">
              <a:extLst>
                <a:ext uri="{63B3BB69-23CF-44E3-9099-C40C66FF867C}">
                  <a14:compatExt spid="_x0000_s42912"/>
                </a:ext>
                <a:ext uri="{FF2B5EF4-FFF2-40B4-BE49-F238E27FC236}">
                  <a16:creationId xmlns:a16="http://schemas.microsoft.com/office/drawing/2014/main" id="{00000000-0008-0000-0F00-0000A0A70000}"/>
                </a:ext>
              </a:extLst>
            </xdr:cNvPr>
            <xdr:cNvSpPr/>
          </xdr:nvSpPr>
          <xdr:spPr bwMode="auto">
            <a:xfrm>
              <a:off x="0" y="0"/>
              <a:ext cx="0" cy="0"/>
            </a:xfrm>
            <a:prstGeom prst="rect">
              <a:avLst/>
            </a:prstGeom>
            <a:noFill/>
            <a:ln>
              <a:noFill/>
            </a:ln>
            <a:effectLst/>
            <a:extLst>
              <a:ext uri="{91240B29-F687-4F45-9708-019B960494DF}">
                <a14:hiddenLine w="9525">
                  <a:noFill/>
                  <a:miter lim="800000"/>
                  <a:headEnd/>
                  <a:tailEnd/>
                </a14:hiddenLine>
              </a:ext>
              <a:ext uri="{53640926-AAD7-44D8-BBD7-CCE9431645EC}">
                <a14:shadowObscured val="1"/>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xdr:twoCellAnchor>
    <xdr:from>
      <xdr:col>0</xdr:col>
      <xdr:colOff>0</xdr:colOff>
      <xdr:row>1</xdr:row>
      <xdr:rowOff>38100</xdr:rowOff>
    </xdr:from>
    <xdr:to>
      <xdr:col>0</xdr:col>
      <xdr:colOff>4338955</xdr:colOff>
      <xdr:row>1</xdr:row>
      <xdr:rowOff>266700</xdr:rowOff>
    </xdr:to>
    <xdr:sp macro="" textlink="">
      <xdr:nvSpPr>
        <xdr:cNvPr id="2" name="Testo 4">
          <a:extLst>
            <a:ext uri="{FF2B5EF4-FFF2-40B4-BE49-F238E27FC236}">
              <a16:creationId xmlns:a16="http://schemas.microsoft.com/office/drawing/2014/main" id="{00000000-0008-0000-1000-000002000000}"/>
            </a:ext>
          </a:extLst>
        </xdr:cNvPr>
        <xdr:cNvSpPr txBox="1">
          <a:spLocks noChangeArrowheads="1"/>
        </xdr:cNvSpPr>
      </xdr:nvSpPr>
      <xdr:spPr bwMode="auto">
        <a:xfrm>
          <a:off x="0" y="590550"/>
          <a:ext cx="4658836" cy="228600"/>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RICONCILIAZIONE</a:t>
          </a:r>
          <a:endParaRPr lang="it-IT" sz="1000" b="0" i="0" strike="noStrike">
            <a:solidFill>
              <a:srgbClr val="000000"/>
            </a:solidFill>
            <a:latin typeface="Arial"/>
            <a:cs typeface="Arial"/>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0</xdr:row>
      <xdr:rowOff>0</xdr:rowOff>
    </xdr:to>
    <xdr:sp macro="" textlink="">
      <xdr:nvSpPr>
        <xdr:cNvPr id="47105" name="Testo 4">
          <a:extLst>
            <a:ext uri="{FF2B5EF4-FFF2-40B4-BE49-F238E27FC236}">
              <a16:creationId xmlns:a16="http://schemas.microsoft.com/office/drawing/2014/main" id="{00000000-0008-0000-1200-000001B80000}"/>
            </a:ext>
          </a:extLst>
        </xdr:cNvPr>
        <xdr:cNvSpPr txBox="1">
          <a:spLocks noChangeArrowheads="1"/>
        </xdr:cNvSpPr>
      </xdr:nvSpPr>
      <xdr:spPr bwMode="auto">
        <a:xfrm>
          <a:off x="8924925" y="0"/>
          <a:ext cx="0" cy="0"/>
        </a:xfrm>
        <a:prstGeom prst="rect">
          <a:avLst/>
        </a:prstGeom>
        <a:noFill/>
        <a:ln w="9525">
          <a:solidFill>
            <a:srgbClr val="000000"/>
          </a:solidFill>
          <a:miter lim="800000"/>
          <a:headEnd/>
          <a:tailEnd/>
        </a:ln>
        <a:effectLst>
          <a:outerShdw dist="35921" dir="2700000" algn="ctr" rotWithShape="0">
            <a:srgbClr val="000000"/>
          </a:outerShdw>
        </a:effectLst>
      </xdr:spPr>
      <xdr:txBody>
        <a:bodyPr vertOverflow="clip" wrap="square" lIns="27432" tIns="22860" rIns="27432" bIns="22860" anchor="ctr" upright="1"/>
        <a:lstStyle/>
        <a:p>
          <a:pPr algn="ctr" rtl="0">
            <a:defRPr sz="1000"/>
          </a:pPr>
          <a:r>
            <a:rPr lang="it-IT" sz="1000" b="1" i="0" strike="noStrike">
              <a:solidFill>
                <a:srgbClr val="000000"/>
              </a:solidFill>
              <a:latin typeface="Arial"/>
              <a:cs typeface="Arial"/>
            </a:rPr>
            <a:t>Anno 2004</a:t>
          </a:r>
        </a:p>
      </xdr:txBody>
    </xdr:sp>
    <xdr:clientData/>
  </xdr:twoCellAnchor>
  <xdr:twoCellAnchor>
    <xdr:from>
      <xdr:col>10</xdr:col>
      <xdr:colOff>0</xdr:colOff>
      <xdr:row>0</xdr:row>
      <xdr:rowOff>0</xdr:rowOff>
    </xdr:from>
    <xdr:to>
      <xdr:col>10</xdr:col>
      <xdr:colOff>0</xdr:colOff>
      <xdr:row>0</xdr:row>
      <xdr:rowOff>0</xdr:rowOff>
    </xdr:to>
    <xdr:sp macro="" textlink="">
      <xdr:nvSpPr>
        <xdr:cNvPr id="47108" name="Testo 2">
          <a:extLst>
            <a:ext uri="{FF2B5EF4-FFF2-40B4-BE49-F238E27FC236}">
              <a16:creationId xmlns:a16="http://schemas.microsoft.com/office/drawing/2014/main" id="{00000000-0008-0000-1200-000004B80000}"/>
            </a:ext>
          </a:extLst>
        </xdr:cNvPr>
        <xdr:cNvSpPr>
          <a:spLocks noChangeArrowheads="1"/>
        </xdr:cNvSpPr>
      </xdr:nvSpPr>
      <xdr:spPr bwMode="auto">
        <a:xfrm>
          <a:off x="8924925" y="0"/>
          <a:ext cx="0" cy="0"/>
        </a:xfrm>
        <a:prstGeom prst="roundRect">
          <a:avLst>
            <a:gd name="adj" fmla="val 16667"/>
          </a:avLst>
        </a:prstGeom>
        <a:solidFill>
          <a:srgbClr val="FFFFFF"/>
        </a:solidFill>
        <a:ln w="9525">
          <a:solidFill>
            <a:srgbClr val="000000"/>
          </a:solidFill>
          <a:round/>
          <a:headEnd/>
          <a:tailEnd/>
        </a:ln>
        <a:effectLst>
          <a:outerShdw dist="35921" dir="2700000" algn="ctr" rotWithShape="0">
            <a:srgbClr val="000000"/>
          </a:outerShdw>
        </a:effectLst>
      </xdr:spPr>
      <xdr:txBody>
        <a:bodyPr vertOverflow="clip" wrap="square" lIns="27432" tIns="22860" rIns="0" bIns="22860" anchor="ctr" upright="1"/>
        <a:lstStyle/>
        <a:p>
          <a:pPr algn="l" rtl="0">
            <a:defRPr sz="1000"/>
          </a:pPr>
          <a:r>
            <a:rPr lang="it-IT" sz="800" b="1" i="0" strike="noStrike">
              <a:solidFill>
                <a:srgbClr val="000000"/>
              </a:solidFill>
              <a:latin typeface="Arial"/>
              <a:cs typeface="Arial"/>
            </a:rPr>
            <a:t>ISTITUZIONE......................................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16</xdr:col>
      <xdr:colOff>0</xdr:colOff>
      <xdr:row>0</xdr:row>
      <xdr:rowOff>0</xdr:rowOff>
    </xdr:from>
    <xdr:to>
      <xdr:col>16</xdr:col>
      <xdr:colOff>0</xdr:colOff>
      <xdr:row>0</xdr:row>
      <xdr:rowOff>0</xdr:rowOff>
    </xdr:to>
    <xdr:sp macro="" textlink="">
      <xdr:nvSpPr>
        <xdr:cNvPr id="48129" name="Testo 4">
          <a:extLst>
            <a:ext uri="{FF2B5EF4-FFF2-40B4-BE49-F238E27FC236}">
              <a16:creationId xmlns:a16="http://schemas.microsoft.com/office/drawing/2014/main" id="{00000000-0008-0000-1400-000001BC0000}"/>
            </a:ext>
          </a:extLst>
        </xdr:cNvPr>
        <xdr:cNvSpPr txBox="1">
          <a:spLocks noChangeArrowheads="1"/>
        </xdr:cNvSpPr>
      </xdr:nvSpPr>
      <xdr:spPr bwMode="auto">
        <a:xfrm>
          <a:off x="11458575" y="0"/>
          <a:ext cx="0" cy="0"/>
        </a:xfrm>
        <a:prstGeom prst="rect">
          <a:avLst/>
        </a:prstGeom>
        <a:noFill/>
        <a:ln w="9525">
          <a:solidFill>
            <a:srgbClr val="000000"/>
          </a:solidFill>
          <a:miter lim="800000"/>
          <a:headEnd/>
          <a:tailEnd/>
        </a:ln>
        <a:effectLst>
          <a:outerShdw dist="35921" dir="2700000" algn="ctr" rotWithShape="0">
            <a:srgbClr val="000000"/>
          </a:outerShdw>
        </a:effectLst>
      </xdr:spPr>
      <xdr:txBody>
        <a:bodyPr vertOverflow="clip" wrap="square" lIns="27432" tIns="22860" rIns="27432" bIns="22860" anchor="ctr" upright="1"/>
        <a:lstStyle/>
        <a:p>
          <a:pPr algn="ctr" rtl="0">
            <a:defRPr sz="1000"/>
          </a:pPr>
          <a:r>
            <a:rPr lang="it-IT" sz="1000" b="1" i="0" strike="noStrike">
              <a:solidFill>
                <a:srgbClr val="000000"/>
              </a:solidFill>
              <a:latin typeface="Arial"/>
              <a:cs typeface="Arial"/>
            </a:rPr>
            <a:t>Anno 2004</a:t>
          </a:r>
        </a:p>
      </xdr:txBody>
    </xdr:sp>
    <xdr:clientData/>
  </xdr:twoCellAnchor>
  <xdr:twoCellAnchor>
    <xdr:from>
      <xdr:col>16</xdr:col>
      <xdr:colOff>0</xdr:colOff>
      <xdr:row>0</xdr:row>
      <xdr:rowOff>0</xdr:rowOff>
    </xdr:from>
    <xdr:to>
      <xdr:col>16</xdr:col>
      <xdr:colOff>0</xdr:colOff>
      <xdr:row>0</xdr:row>
      <xdr:rowOff>0</xdr:rowOff>
    </xdr:to>
    <xdr:sp macro="" textlink="">
      <xdr:nvSpPr>
        <xdr:cNvPr id="48132" name="Testo 2">
          <a:extLst>
            <a:ext uri="{FF2B5EF4-FFF2-40B4-BE49-F238E27FC236}">
              <a16:creationId xmlns:a16="http://schemas.microsoft.com/office/drawing/2014/main" id="{00000000-0008-0000-1400-000004BC0000}"/>
            </a:ext>
          </a:extLst>
        </xdr:cNvPr>
        <xdr:cNvSpPr>
          <a:spLocks noChangeArrowheads="1"/>
        </xdr:cNvSpPr>
      </xdr:nvSpPr>
      <xdr:spPr bwMode="auto">
        <a:xfrm>
          <a:off x="11458575" y="0"/>
          <a:ext cx="0" cy="0"/>
        </a:xfrm>
        <a:prstGeom prst="roundRect">
          <a:avLst>
            <a:gd name="adj" fmla="val 16667"/>
          </a:avLst>
        </a:prstGeom>
        <a:solidFill>
          <a:srgbClr val="FFFFFF"/>
        </a:solidFill>
        <a:ln w="9525">
          <a:solidFill>
            <a:srgbClr val="000000"/>
          </a:solidFill>
          <a:round/>
          <a:headEnd/>
          <a:tailEnd/>
        </a:ln>
        <a:effectLst>
          <a:outerShdw dist="35921" dir="2700000" algn="ctr" rotWithShape="0">
            <a:srgbClr val="000000"/>
          </a:outerShdw>
        </a:effectLst>
      </xdr:spPr>
      <xdr:txBody>
        <a:bodyPr vertOverflow="clip" wrap="square" lIns="27432" tIns="22860" rIns="0" bIns="22860" anchor="ctr" upright="1"/>
        <a:lstStyle/>
        <a:p>
          <a:pPr algn="l" rtl="0">
            <a:defRPr sz="1000"/>
          </a:pPr>
          <a:r>
            <a:rPr lang="it-IT" sz="800" b="1" i="0" strike="noStrike">
              <a:solidFill>
                <a:srgbClr val="000000"/>
              </a:solidFill>
              <a:latin typeface="Arial"/>
              <a:cs typeface="Arial"/>
            </a:rPr>
            <a:t>ISTITUZIONE......................................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3174</xdr:colOff>
      <xdr:row>1</xdr:row>
      <xdr:rowOff>22225</xdr:rowOff>
    </xdr:from>
    <xdr:to>
      <xdr:col>31</xdr:col>
      <xdr:colOff>222272</xdr:colOff>
      <xdr:row>1</xdr:row>
      <xdr:rowOff>268860</xdr:rowOff>
    </xdr:to>
    <xdr:sp macro="" textlink="">
      <xdr:nvSpPr>
        <xdr:cNvPr id="2057" name="Testo 9">
          <a:extLst>
            <a:ext uri="{FF2B5EF4-FFF2-40B4-BE49-F238E27FC236}">
              <a16:creationId xmlns:a16="http://schemas.microsoft.com/office/drawing/2014/main" id="{00000000-0008-0000-0100-000009080000}"/>
            </a:ext>
          </a:extLst>
        </xdr:cNvPr>
        <xdr:cNvSpPr txBox="1">
          <a:spLocks noChangeArrowheads="1"/>
        </xdr:cNvSpPr>
      </xdr:nvSpPr>
      <xdr:spPr bwMode="auto">
        <a:xfrm>
          <a:off x="9524" y="340995"/>
          <a:ext cx="6330316" cy="24014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1 </a:t>
          </a:r>
          <a:r>
            <a:rPr lang="it-IT" sz="1200" b="0" i="0" strike="noStrike">
              <a:solidFill>
                <a:srgbClr val="000000"/>
              </a:solidFill>
              <a:latin typeface="Arial"/>
              <a:cs typeface="Arial"/>
            </a:rPr>
            <a:t>- </a:t>
          </a:r>
          <a:r>
            <a:rPr lang="it-IT" sz="1000" b="0" i="0" strike="noStrike">
              <a:solidFill>
                <a:srgbClr val="000000"/>
              </a:solidFill>
              <a:latin typeface="Arial"/>
              <a:cs typeface="Arial"/>
            </a:rPr>
            <a:t>Personale dipendente a tempo indeterminato e personale dirigente in servizio al 31 dicembre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0</xdr:colOff>
      <xdr:row>0</xdr:row>
      <xdr:rowOff>0</xdr:rowOff>
    </xdr:to>
    <xdr:sp macro="" textlink="">
      <xdr:nvSpPr>
        <xdr:cNvPr id="49153" name="Testo 4">
          <a:extLst>
            <a:ext uri="{FF2B5EF4-FFF2-40B4-BE49-F238E27FC236}">
              <a16:creationId xmlns:a16="http://schemas.microsoft.com/office/drawing/2014/main" id="{00000000-0008-0000-1500-000001C00000}"/>
            </a:ext>
          </a:extLst>
        </xdr:cNvPr>
        <xdr:cNvSpPr txBox="1">
          <a:spLocks noChangeArrowheads="1"/>
        </xdr:cNvSpPr>
      </xdr:nvSpPr>
      <xdr:spPr bwMode="auto">
        <a:xfrm>
          <a:off x="7458075" y="0"/>
          <a:ext cx="0" cy="0"/>
        </a:xfrm>
        <a:prstGeom prst="rect">
          <a:avLst/>
        </a:prstGeom>
        <a:noFill/>
        <a:ln w="9525">
          <a:solidFill>
            <a:srgbClr val="000000"/>
          </a:solidFill>
          <a:miter lim="800000"/>
          <a:headEnd/>
          <a:tailEnd/>
        </a:ln>
        <a:effectLst>
          <a:outerShdw dist="35921" dir="2700000" algn="ctr" rotWithShape="0">
            <a:srgbClr val="000000"/>
          </a:outerShdw>
        </a:effectLst>
      </xdr:spPr>
      <xdr:txBody>
        <a:bodyPr vertOverflow="clip" wrap="square" lIns="27432" tIns="22860" rIns="27432" bIns="22860" anchor="ctr" upright="1"/>
        <a:lstStyle/>
        <a:p>
          <a:pPr algn="ctr" rtl="0">
            <a:defRPr sz="1000"/>
          </a:pPr>
          <a:r>
            <a:rPr lang="it-IT" sz="1000" b="1" i="0" strike="noStrike">
              <a:solidFill>
                <a:srgbClr val="000000"/>
              </a:solidFill>
              <a:latin typeface="Arial"/>
              <a:cs typeface="Arial"/>
            </a:rPr>
            <a:t>Anno 2004</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9156" name="Testo 2">
          <a:extLst>
            <a:ext uri="{FF2B5EF4-FFF2-40B4-BE49-F238E27FC236}">
              <a16:creationId xmlns:a16="http://schemas.microsoft.com/office/drawing/2014/main" id="{00000000-0008-0000-1500-000004C00000}"/>
            </a:ext>
          </a:extLst>
        </xdr:cNvPr>
        <xdr:cNvSpPr>
          <a:spLocks noChangeArrowheads="1"/>
        </xdr:cNvSpPr>
      </xdr:nvSpPr>
      <xdr:spPr bwMode="auto">
        <a:xfrm>
          <a:off x="7458075" y="0"/>
          <a:ext cx="0" cy="0"/>
        </a:xfrm>
        <a:prstGeom prst="roundRect">
          <a:avLst>
            <a:gd name="adj" fmla="val 16667"/>
          </a:avLst>
        </a:prstGeom>
        <a:solidFill>
          <a:srgbClr val="FFFFFF"/>
        </a:solidFill>
        <a:ln w="9525">
          <a:solidFill>
            <a:srgbClr val="000000"/>
          </a:solidFill>
          <a:round/>
          <a:headEnd/>
          <a:tailEnd/>
        </a:ln>
        <a:effectLst>
          <a:outerShdw dist="35921" dir="2700000" algn="ctr" rotWithShape="0">
            <a:srgbClr val="000000"/>
          </a:outerShdw>
        </a:effectLst>
      </xdr:spPr>
      <xdr:txBody>
        <a:bodyPr vertOverflow="clip" wrap="square" lIns="27432" tIns="22860" rIns="0" bIns="22860" anchor="ctr" upright="1"/>
        <a:lstStyle/>
        <a:p>
          <a:pPr algn="l" rtl="0">
            <a:defRPr sz="1000"/>
          </a:pPr>
          <a:r>
            <a:rPr lang="it-IT" sz="800" b="1" i="0" strike="noStrike">
              <a:solidFill>
                <a:srgbClr val="000000"/>
              </a:solidFill>
              <a:latin typeface="Arial"/>
              <a:cs typeface="Arial"/>
            </a:rPr>
            <a:t>ISTITUZIONE......................................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51201" name="Testo 4">
          <a:extLst>
            <a:ext uri="{FF2B5EF4-FFF2-40B4-BE49-F238E27FC236}">
              <a16:creationId xmlns:a16="http://schemas.microsoft.com/office/drawing/2014/main" id="{00000000-0008-0000-1600-000001C80000}"/>
            </a:ext>
          </a:extLst>
        </xdr:cNvPr>
        <xdr:cNvSpPr txBox="1">
          <a:spLocks noChangeArrowheads="1"/>
        </xdr:cNvSpPr>
      </xdr:nvSpPr>
      <xdr:spPr bwMode="auto">
        <a:xfrm>
          <a:off x="6305550" y="0"/>
          <a:ext cx="0" cy="0"/>
        </a:xfrm>
        <a:prstGeom prst="rect">
          <a:avLst/>
        </a:prstGeom>
        <a:noFill/>
        <a:ln w="9525">
          <a:solidFill>
            <a:srgbClr val="000000"/>
          </a:solidFill>
          <a:miter lim="800000"/>
          <a:headEnd/>
          <a:tailEnd/>
        </a:ln>
        <a:effectLst>
          <a:outerShdw dist="35921" dir="2700000" algn="ctr" rotWithShape="0">
            <a:srgbClr val="000000"/>
          </a:outerShdw>
        </a:effectLst>
      </xdr:spPr>
      <xdr:txBody>
        <a:bodyPr vertOverflow="clip" wrap="square" lIns="27432" tIns="22860" rIns="27432" bIns="22860" anchor="ctr" upright="1"/>
        <a:lstStyle/>
        <a:p>
          <a:pPr algn="ctr" rtl="0">
            <a:defRPr sz="1000"/>
          </a:pPr>
          <a:r>
            <a:rPr lang="it-IT" sz="1000" b="1" i="0" strike="noStrike">
              <a:solidFill>
                <a:srgbClr val="000000"/>
              </a:solidFill>
              <a:latin typeface="Arial"/>
              <a:cs typeface="Arial"/>
            </a:rPr>
            <a:t>Anno 2004</a:t>
          </a:r>
        </a:p>
        <a:p>
          <a:pPr algn="ctr" rtl="0">
            <a:defRPr sz="1000"/>
          </a:pPr>
          <a:endParaRPr lang="it-IT" sz="1000" b="1" i="0" strike="noStrike">
            <a:solidFill>
              <a:srgbClr val="000000"/>
            </a:solidFill>
            <a:latin typeface="Arial"/>
            <a:cs typeface="Arial"/>
          </a:endParaRPr>
        </a:p>
      </xdr:txBody>
    </xdr:sp>
    <xdr:clientData/>
  </xdr:twoCellAnchor>
  <xdr:twoCellAnchor>
    <xdr:from>
      <xdr:col>4</xdr:col>
      <xdr:colOff>0</xdr:colOff>
      <xdr:row>0</xdr:row>
      <xdr:rowOff>0</xdr:rowOff>
    </xdr:from>
    <xdr:to>
      <xdr:col>4</xdr:col>
      <xdr:colOff>0</xdr:colOff>
      <xdr:row>0</xdr:row>
      <xdr:rowOff>0</xdr:rowOff>
    </xdr:to>
    <xdr:sp macro="" textlink="">
      <xdr:nvSpPr>
        <xdr:cNvPr id="51204" name="Testo 2">
          <a:extLst>
            <a:ext uri="{FF2B5EF4-FFF2-40B4-BE49-F238E27FC236}">
              <a16:creationId xmlns:a16="http://schemas.microsoft.com/office/drawing/2014/main" id="{00000000-0008-0000-1600-000004C80000}"/>
            </a:ext>
          </a:extLst>
        </xdr:cNvPr>
        <xdr:cNvSpPr>
          <a:spLocks noChangeArrowheads="1"/>
        </xdr:cNvSpPr>
      </xdr:nvSpPr>
      <xdr:spPr bwMode="auto">
        <a:xfrm>
          <a:off x="6305550" y="0"/>
          <a:ext cx="0" cy="0"/>
        </a:xfrm>
        <a:prstGeom prst="roundRect">
          <a:avLst>
            <a:gd name="adj" fmla="val 16667"/>
          </a:avLst>
        </a:prstGeom>
        <a:solidFill>
          <a:srgbClr val="FFFFFF"/>
        </a:solidFill>
        <a:ln w="9525">
          <a:solidFill>
            <a:srgbClr val="000000"/>
          </a:solidFill>
          <a:round/>
          <a:headEnd/>
          <a:tailEnd/>
        </a:ln>
        <a:effectLst>
          <a:outerShdw dist="35921" dir="2700000" algn="ctr" rotWithShape="0">
            <a:srgbClr val="000000"/>
          </a:outerShdw>
        </a:effectLst>
      </xdr:spPr>
      <xdr:txBody>
        <a:bodyPr vertOverflow="clip" wrap="square" lIns="27432" tIns="22860" rIns="0" bIns="22860" anchor="ctr" upright="1"/>
        <a:lstStyle/>
        <a:p>
          <a:pPr algn="l" rtl="0">
            <a:defRPr sz="1000"/>
          </a:pPr>
          <a:r>
            <a:rPr lang="it-IT" sz="800" b="1" i="0" strike="noStrike">
              <a:solidFill>
                <a:srgbClr val="000000"/>
              </a:solidFill>
              <a:latin typeface="Arial"/>
              <a:cs typeface="Arial"/>
            </a:rPr>
            <a:t>ISTITUZIONE......................................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2" name="Testo 4">
          <a:extLst>
            <a:ext uri="{FF2B5EF4-FFF2-40B4-BE49-F238E27FC236}">
              <a16:creationId xmlns:a16="http://schemas.microsoft.com/office/drawing/2014/main" id="{00000000-0008-0000-1E00-000002000000}"/>
            </a:ext>
          </a:extLst>
        </xdr:cNvPr>
        <xdr:cNvSpPr txBox="1">
          <a:spLocks noChangeArrowheads="1"/>
        </xdr:cNvSpPr>
      </xdr:nvSpPr>
      <xdr:spPr bwMode="auto">
        <a:xfrm>
          <a:off x="8305800" y="0"/>
          <a:ext cx="0" cy="0"/>
        </a:xfrm>
        <a:prstGeom prst="rect">
          <a:avLst/>
        </a:prstGeom>
        <a:noFill/>
        <a:ln w="9525">
          <a:solidFill>
            <a:srgbClr val="000000"/>
          </a:solidFill>
          <a:miter lim="800000"/>
          <a:headEnd/>
          <a:tailEnd/>
        </a:ln>
        <a:effectLst>
          <a:outerShdw dist="35921" dir="2700000" algn="ctr" rotWithShape="0">
            <a:srgbClr val="000000"/>
          </a:outerShdw>
        </a:effectLst>
      </xdr:spPr>
      <xdr:txBody>
        <a:bodyPr vertOverflow="clip" wrap="square" lIns="27432" tIns="22860" rIns="27432" bIns="22860" anchor="ctr" upright="1"/>
        <a:lstStyle/>
        <a:p>
          <a:pPr algn="ctr" rtl="0">
            <a:defRPr sz="1000"/>
          </a:pPr>
          <a:r>
            <a:rPr lang="it-IT" sz="1000" b="1" i="0" strike="noStrike">
              <a:solidFill>
                <a:srgbClr val="000000"/>
              </a:solidFill>
              <a:latin typeface="Arial"/>
              <a:cs typeface="Arial"/>
            </a:rPr>
            <a:t>Anno 2004</a:t>
          </a:r>
        </a:p>
        <a:p>
          <a:pPr algn="ctr" rtl="0">
            <a:defRPr sz="1000"/>
          </a:pPr>
          <a:endParaRPr lang="it-IT" sz="1000" b="1" i="0" strike="noStrike">
            <a:solidFill>
              <a:srgbClr val="000000"/>
            </a:solidFill>
            <a:latin typeface="Arial"/>
            <a:cs typeface="Arial"/>
          </a:endParaRPr>
        </a:p>
      </xdr:txBody>
    </xdr:sp>
    <xdr:clientData/>
  </xdr:twoCellAnchor>
  <xdr:twoCellAnchor>
    <xdr:from>
      <xdr:col>4</xdr:col>
      <xdr:colOff>0</xdr:colOff>
      <xdr:row>0</xdr:row>
      <xdr:rowOff>0</xdr:rowOff>
    </xdr:from>
    <xdr:to>
      <xdr:col>4</xdr:col>
      <xdr:colOff>0</xdr:colOff>
      <xdr:row>0</xdr:row>
      <xdr:rowOff>0</xdr:rowOff>
    </xdr:to>
    <xdr:sp macro="" textlink="">
      <xdr:nvSpPr>
        <xdr:cNvPr id="3" name="Testo 2">
          <a:extLst>
            <a:ext uri="{FF2B5EF4-FFF2-40B4-BE49-F238E27FC236}">
              <a16:creationId xmlns:a16="http://schemas.microsoft.com/office/drawing/2014/main" id="{00000000-0008-0000-1E00-000003000000}"/>
            </a:ext>
          </a:extLst>
        </xdr:cNvPr>
        <xdr:cNvSpPr>
          <a:spLocks noChangeArrowheads="1"/>
        </xdr:cNvSpPr>
      </xdr:nvSpPr>
      <xdr:spPr bwMode="auto">
        <a:xfrm>
          <a:off x="8305800" y="0"/>
          <a:ext cx="0" cy="0"/>
        </a:xfrm>
        <a:prstGeom prst="roundRect">
          <a:avLst>
            <a:gd name="adj" fmla="val 16667"/>
          </a:avLst>
        </a:prstGeom>
        <a:solidFill>
          <a:srgbClr val="FFFFFF"/>
        </a:solidFill>
        <a:ln w="9525">
          <a:solidFill>
            <a:srgbClr val="000000"/>
          </a:solidFill>
          <a:round/>
          <a:headEnd/>
          <a:tailEnd/>
        </a:ln>
        <a:effectLst>
          <a:outerShdw dist="35921" dir="2700000" algn="ctr" rotWithShape="0">
            <a:srgbClr val="000000"/>
          </a:outerShdw>
        </a:effectLst>
      </xdr:spPr>
      <xdr:txBody>
        <a:bodyPr vertOverflow="clip" wrap="square" lIns="27432" tIns="22860" rIns="0" bIns="22860" anchor="ctr" upright="1"/>
        <a:lstStyle/>
        <a:p>
          <a:pPr algn="l" rtl="0">
            <a:defRPr sz="1000"/>
          </a:pPr>
          <a:r>
            <a:rPr lang="it-IT" sz="800" b="1" i="0" strike="noStrike">
              <a:solidFill>
                <a:srgbClr val="000000"/>
              </a:solidFill>
              <a:latin typeface="Arial"/>
              <a:cs typeface="Arial"/>
            </a:rPr>
            <a:t>ISTITUZIONE......................................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31750</xdr:rowOff>
    </xdr:from>
    <xdr:to>
      <xdr:col>34</xdr:col>
      <xdr:colOff>2545</xdr:colOff>
      <xdr:row>1</xdr:row>
      <xdr:rowOff>291412</xdr:rowOff>
    </xdr:to>
    <xdr:sp macro="" textlink="">
      <xdr:nvSpPr>
        <xdr:cNvPr id="2" name="Testo 9">
          <a:extLst>
            <a:ext uri="{FF2B5EF4-FFF2-40B4-BE49-F238E27FC236}">
              <a16:creationId xmlns:a16="http://schemas.microsoft.com/office/drawing/2014/main" id="{00000000-0008-0000-0200-000002000000}"/>
            </a:ext>
          </a:extLst>
        </xdr:cNvPr>
        <xdr:cNvSpPr txBox="1">
          <a:spLocks noChangeArrowheads="1"/>
        </xdr:cNvSpPr>
      </xdr:nvSpPr>
      <xdr:spPr bwMode="auto">
        <a:xfrm>
          <a:off x="0" y="580390"/>
          <a:ext cx="5923285" cy="259662"/>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2 </a:t>
          </a:r>
          <a:r>
            <a:rPr lang="it-IT" sz="800" b="0" i="0" strike="noStrike">
              <a:solidFill>
                <a:srgbClr val="000000"/>
              </a:solidFill>
              <a:latin typeface="Arial"/>
              <a:cs typeface="Arial"/>
            </a:rPr>
            <a:t> -  </a:t>
          </a:r>
          <a:r>
            <a:rPr lang="it-IT" sz="1000" b="0" i="0" strike="noStrike">
              <a:solidFill>
                <a:srgbClr val="000000"/>
              </a:solidFill>
              <a:latin typeface="Arial"/>
              <a:cs typeface="Arial"/>
            </a:rPr>
            <a:t>Personale con contratto di lavoro flessibile </a:t>
          </a:r>
        </a:p>
      </xdr:txBody>
    </xdr:sp>
    <xdr:clientData/>
  </xdr:twoCellAnchor>
  <xdr:twoCellAnchor>
    <xdr:from>
      <xdr:col>0</xdr:col>
      <xdr:colOff>0</xdr:colOff>
      <xdr:row>12</xdr:row>
      <xdr:rowOff>31750</xdr:rowOff>
    </xdr:from>
    <xdr:to>
      <xdr:col>35</xdr:col>
      <xdr:colOff>561757</xdr:colOff>
      <xdr:row>12</xdr:row>
      <xdr:rowOff>291412</xdr:rowOff>
    </xdr:to>
    <xdr:sp macro="" textlink="">
      <xdr:nvSpPr>
        <xdr:cNvPr id="3" name="Testo 9">
          <a:extLst>
            <a:ext uri="{FF2B5EF4-FFF2-40B4-BE49-F238E27FC236}">
              <a16:creationId xmlns:a16="http://schemas.microsoft.com/office/drawing/2014/main" id="{00000000-0008-0000-0200-000003000000}"/>
            </a:ext>
          </a:extLst>
        </xdr:cNvPr>
        <xdr:cNvSpPr txBox="1">
          <a:spLocks noChangeArrowheads="1"/>
        </xdr:cNvSpPr>
      </xdr:nvSpPr>
      <xdr:spPr bwMode="auto">
        <a:xfrm>
          <a:off x="0" y="4611370"/>
          <a:ext cx="7084479" cy="259662"/>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2 </a:t>
          </a:r>
          <a:r>
            <a:rPr lang="it-IT" sz="800" b="0" i="0" strike="noStrike">
              <a:solidFill>
                <a:srgbClr val="000000"/>
              </a:solidFill>
              <a:latin typeface="Arial"/>
              <a:cs typeface="Arial"/>
            </a:rPr>
            <a:t> -  </a:t>
          </a:r>
          <a:r>
            <a:rPr lang="it-IT" sz="1000" b="0" i="0" strike="noStrike">
              <a:solidFill>
                <a:srgbClr val="000000"/>
              </a:solidFill>
              <a:latin typeface="Arial"/>
              <a:cs typeface="Arial"/>
            </a:rPr>
            <a:t>Personale con modalità di lavoro flessibile </a:t>
          </a:r>
        </a:p>
      </xdr:txBody>
    </xdr:sp>
    <xdr:clientData/>
  </xdr:twoCellAnchor>
  <mc:AlternateContent xmlns:mc="http://schemas.openxmlformats.org/markup-compatibility/2006">
    <mc:Choice xmlns:a14="http://schemas.microsoft.com/office/drawing/2010/main" Requires="a14">
      <xdr:twoCellAnchor editAs="oneCell">
        <xdr:from>
          <xdr:col>29</xdr:col>
          <xdr:colOff>180975</xdr:colOff>
          <xdr:row>8</xdr:row>
          <xdr:rowOff>142875</xdr:rowOff>
        </xdr:from>
        <xdr:to>
          <xdr:col>30</xdr:col>
          <xdr:colOff>247650</xdr:colOff>
          <xdr:row>9</xdr:row>
          <xdr:rowOff>171450</xdr:rowOff>
        </xdr:to>
        <xdr:sp macro="" textlink="">
          <xdr:nvSpPr>
            <xdr:cNvPr id="2376705" name="Drop Down 1" descr="No" hidden="1">
              <a:extLst>
                <a:ext uri="{63B3BB69-23CF-44E3-9099-C40C66FF867C}">
                  <a14:compatExt spid="_x0000_s2376705"/>
                </a:ext>
                <a:ext uri="{FF2B5EF4-FFF2-40B4-BE49-F238E27FC236}">
                  <a16:creationId xmlns:a16="http://schemas.microsoft.com/office/drawing/2014/main" id="{00000000-0008-0000-0200-000001442400}"/>
                </a:ext>
              </a:extLst>
            </xdr:cNvPr>
            <xdr:cNvSpPr/>
          </xdr:nvSpPr>
          <xdr:spPr bwMode="auto">
            <a:xfrm>
              <a:off x="0" y="0"/>
              <a:ext cx="0" cy="0"/>
            </a:xfrm>
            <a:prstGeom prst="rect">
              <a:avLst/>
            </a:prstGeom>
            <a:noFill/>
            <a:ln>
              <a:noFill/>
            </a:ln>
            <a:effectLst/>
            <a:extLst>
              <a:ext uri="{91240B29-F687-4F45-9708-019B960494DF}">
                <a14:hiddenLine w="9525">
                  <a:noFill/>
                  <a:miter lim="800000"/>
                  <a:headEnd/>
                  <a:tailEnd/>
                </a14:hiddenLine>
              </a:ext>
              <a:ext uri="{53640926-AAD7-44D8-BBD7-CCE9431645EC}">
                <a14:shadowObscured val="1"/>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3175</xdr:colOff>
      <xdr:row>2</xdr:row>
      <xdr:rowOff>155575</xdr:rowOff>
    </xdr:from>
    <xdr:to>
      <xdr:col>11</xdr:col>
      <xdr:colOff>0</xdr:colOff>
      <xdr:row>3</xdr:row>
      <xdr:rowOff>124903</xdr:rowOff>
    </xdr:to>
    <xdr:sp macro="" textlink="">
      <xdr:nvSpPr>
        <xdr:cNvPr id="2" name="Testo 9">
          <a:extLst>
            <a:ext uri="{FF2B5EF4-FFF2-40B4-BE49-F238E27FC236}">
              <a16:creationId xmlns:a16="http://schemas.microsoft.com/office/drawing/2014/main" id="{00000000-0008-0000-0300-000002000000}"/>
            </a:ext>
          </a:extLst>
        </xdr:cNvPr>
        <xdr:cNvSpPr txBox="1">
          <a:spLocks noChangeArrowheads="1"/>
        </xdr:cNvSpPr>
      </xdr:nvSpPr>
      <xdr:spPr bwMode="auto">
        <a:xfrm>
          <a:off x="337185" y="581025"/>
          <a:ext cx="8075295" cy="251558"/>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2A</a:t>
          </a:r>
          <a:r>
            <a:rPr lang="it-IT" sz="800" b="0" i="0" strike="noStrike">
              <a:solidFill>
                <a:srgbClr val="000000"/>
              </a:solidFill>
              <a:latin typeface="Arial"/>
              <a:cs typeface="Arial"/>
            </a:rPr>
            <a:t> - </a:t>
          </a:r>
          <a:r>
            <a:rPr lang="it-IT" sz="1000" b="0" i="0" strike="noStrike">
              <a:solidFill>
                <a:srgbClr val="000000"/>
              </a:solidFill>
              <a:latin typeface="Arial"/>
              <a:cs typeface="Arial"/>
            </a:rPr>
            <a:t>Distribuzione del personale a tempo determinato per anzianità di rapporto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xdr:colOff>
      <xdr:row>1</xdr:row>
      <xdr:rowOff>38100</xdr:rowOff>
    </xdr:from>
    <xdr:to>
      <xdr:col>6</xdr:col>
      <xdr:colOff>9525</xdr:colOff>
      <xdr:row>1</xdr:row>
      <xdr:rowOff>289002</xdr:rowOff>
    </xdr:to>
    <xdr:sp macro="" textlink="">
      <xdr:nvSpPr>
        <xdr:cNvPr id="37889" name="Testo 13">
          <a:extLst>
            <a:ext uri="{FF2B5EF4-FFF2-40B4-BE49-F238E27FC236}">
              <a16:creationId xmlns:a16="http://schemas.microsoft.com/office/drawing/2014/main" id="{00000000-0008-0000-0400-000001940000}"/>
            </a:ext>
          </a:extLst>
        </xdr:cNvPr>
        <xdr:cNvSpPr txBox="1">
          <a:spLocks noChangeArrowheads="1"/>
        </xdr:cNvSpPr>
      </xdr:nvSpPr>
      <xdr:spPr bwMode="auto">
        <a:xfrm>
          <a:off x="9525" y="590550"/>
          <a:ext cx="5581650" cy="25717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3</a:t>
          </a:r>
          <a:r>
            <a:rPr lang="it-IT" sz="800" b="1" i="0" strike="noStrike">
              <a:solidFill>
                <a:srgbClr val="000000"/>
              </a:solidFill>
              <a:latin typeface="Arial"/>
              <a:cs typeface="Arial"/>
            </a:rPr>
            <a:t> </a:t>
          </a:r>
          <a:r>
            <a:rPr lang="it-IT" sz="800" b="0" i="0" strike="noStrike">
              <a:solidFill>
                <a:srgbClr val="000000"/>
              </a:solidFill>
              <a:latin typeface="Arial"/>
              <a:cs typeface="Arial"/>
            </a:rPr>
            <a:t>- </a:t>
          </a:r>
          <a:r>
            <a:rPr lang="it-IT" sz="1000" b="0" i="0" strike="noStrike">
              <a:solidFill>
                <a:srgbClr val="000000"/>
              </a:solidFill>
              <a:latin typeface="Arial"/>
              <a:cs typeface="Arial"/>
            </a:rPr>
            <a:t>Personale in posizione di comando/distacco e fuori ruolo al 31 dicembre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1</xdr:row>
      <xdr:rowOff>53340</xdr:rowOff>
    </xdr:from>
    <xdr:to>
      <xdr:col>4</xdr:col>
      <xdr:colOff>1150621</xdr:colOff>
      <xdr:row>1</xdr:row>
      <xdr:rowOff>487680</xdr:rowOff>
    </xdr:to>
    <xdr:sp macro="" textlink="">
      <xdr:nvSpPr>
        <xdr:cNvPr id="26625" name="Testo 9">
          <a:extLst>
            <a:ext uri="{FF2B5EF4-FFF2-40B4-BE49-F238E27FC236}">
              <a16:creationId xmlns:a16="http://schemas.microsoft.com/office/drawing/2014/main" id="{00000000-0008-0000-0500-000001680000}"/>
            </a:ext>
          </a:extLst>
        </xdr:cNvPr>
        <xdr:cNvSpPr txBox="1">
          <a:spLocks noChangeArrowheads="1"/>
        </xdr:cNvSpPr>
      </xdr:nvSpPr>
      <xdr:spPr bwMode="auto">
        <a:xfrm>
          <a:off x="1" y="601980"/>
          <a:ext cx="6019800" cy="434340"/>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4 </a:t>
          </a:r>
          <a:r>
            <a:rPr lang="it-IT" sz="1000" b="1" i="0" strike="noStrike">
              <a:solidFill>
                <a:srgbClr val="000000"/>
              </a:solidFill>
              <a:latin typeface="Arial"/>
              <a:cs typeface="Arial"/>
            </a:rPr>
            <a:t>- </a:t>
          </a:r>
          <a:r>
            <a:rPr lang="it-IT" sz="1000" b="0" i="0" strike="noStrike">
              <a:solidFill>
                <a:srgbClr val="000000"/>
              </a:solidFill>
              <a:latin typeface="Arial"/>
              <a:cs typeface="Arial"/>
            </a:rPr>
            <a:t>Passaggi di qualifica / posizione economica / differenziale stipendiale / differenziale economico di professionalità / profilo del personale a tempo indeterminato e dirigente nel corso dell'anno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22225</xdr:rowOff>
    </xdr:from>
    <xdr:to>
      <xdr:col>7</xdr:col>
      <xdr:colOff>576549</xdr:colOff>
      <xdr:row>1</xdr:row>
      <xdr:rowOff>285829</xdr:rowOff>
    </xdr:to>
    <xdr:sp macro="" textlink="">
      <xdr:nvSpPr>
        <xdr:cNvPr id="25601" name="Testo 13">
          <a:extLst>
            <a:ext uri="{FF2B5EF4-FFF2-40B4-BE49-F238E27FC236}">
              <a16:creationId xmlns:a16="http://schemas.microsoft.com/office/drawing/2014/main" id="{00000000-0008-0000-0600-000001640000}"/>
            </a:ext>
          </a:extLst>
        </xdr:cNvPr>
        <xdr:cNvSpPr txBox="1">
          <a:spLocks noChangeArrowheads="1"/>
        </xdr:cNvSpPr>
      </xdr:nvSpPr>
      <xdr:spPr bwMode="auto">
        <a:xfrm>
          <a:off x="0" y="581025"/>
          <a:ext cx="6705600" cy="25717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5</a:t>
          </a:r>
          <a:r>
            <a:rPr lang="it-IT" sz="800" b="1" i="0" strike="noStrike">
              <a:solidFill>
                <a:srgbClr val="000000"/>
              </a:solidFill>
              <a:latin typeface="Arial"/>
              <a:cs typeface="Arial"/>
            </a:rPr>
            <a:t> </a:t>
          </a:r>
          <a:r>
            <a:rPr lang="it-IT" sz="800" b="0" i="0" strike="noStrike">
              <a:solidFill>
                <a:srgbClr val="000000"/>
              </a:solidFill>
              <a:latin typeface="Arial"/>
              <a:cs typeface="Arial"/>
            </a:rPr>
            <a:t>- </a:t>
          </a:r>
          <a:r>
            <a:rPr lang="it-IT" sz="900" b="0" i="0" strike="noStrike">
              <a:solidFill>
                <a:srgbClr val="000000"/>
              </a:solidFill>
              <a:latin typeface="Arial"/>
              <a:cs typeface="Arial"/>
            </a:rPr>
            <a:t>Personale a tempo indeterminato  e personale dirigente cessato dal servizio nel corso dell'anno</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22225</xdr:rowOff>
    </xdr:from>
    <xdr:to>
      <xdr:col>7</xdr:col>
      <xdr:colOff>383738</xdr:colOff>
      <xdr:row>1</xdr:row>
      <xdr:rowOff>285829</xdr:rowOff>
    </xdr:to>
    <xdr:sp macro="" textlink="">
      <xdr:nvSpPr>
        <xdr:cNvPr id="24577" name="Testo 13">
          <a:extLst>
            <a:ext uri="{FF2B5EF4-FFF2-40B4-BE49-F238E27FC236}">
              <a16:creationId xmlns:a16="http://schemas.microsoft.com/office/drawing/2014/main" id="{00000000-0008-0000-0700-000001600000}"/>
            </a:ext>
          </a:extLst>
        </xdr:cNvPr>
        <xdr:cNvSpPr txBox="1">
          <a:spLocks noChangeArrowheads="1"/>
        </xdr:cNvSpPr>
      </xdr:nvSpPr>
      <xdr:spPr bwMode="auto">
        <a:xfrm>
          <a:off x="0" y="577215"/>
          <a:ext cx="5844540" cy="25717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6 </a:t>
          </a:r>
          <a:r>
            <a:rPr lang="it-IT" sz="800" b="0" i="0" strike="noStrike">
              <a:solidFill>
                <a:srgbClr val="000000"/>
              </a:solidFill>
              <a:latin typeface="Arial"/>
              <a:cs typeface="Arial"/>
            </a:rPr>
            <a:t>-</a:t>
          </a:r>
          <a:r>
            <a:rPr lang="it-IT" sz="900" b="0" i="0" strike="noStrike">
              <a:solidFill>
                <a:srgbClr val="000000"/>
              </a:solidFill>
              <a:latin typeface="Arial"/>
              <a:cs typeface="Arial"/>
            </a:rPr>
            <a:t> Personale a tempo indeterminato e personale dirigente assunto in servizio nel corso dell'anno</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47625</xdr:rowOff>
    </xdr:from>
    <xdr:to>
      <xdr:col>11</xdr:col>
      <xdr:colOff>219205</xdr:colOff>
      <xdr:row>1</xdr:row>
      <xdr:rowOff>288925</xdr:rowOff>
    </xdr:to>
    <xdr:sp macro="" textlink="">
      <xdr:nvSpPr>
        <xdr:cNvPr id="23553" name="Testo 13">
          <a:extLst>
            <a:ext uri="{FF2B5EF4-FFF2-40B4-BE49-F238E27FC236}">
              <a16:creationId xmlns:a16="http://schemas.microsoft.com/office/drawing/2014/main" id="{00000000-0008-0000-0800-0000015C0000}"/>
            </a:ext>
          </a:extLst>
        </xdr:cNvPr>
        <xdr:cNvSpPr txBox="1">
          <a:spLocks noChangeArrowheads="1"/>
        </xdr:cNvSpPr>
      </xdr:nvSpPr>
      <xdr:spPr bwMode="auto">
        <a:xfrm>
          <a:off x="0" y="600075"/>
          <a:ext cx="7286625" cy="247650"/>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7</a:t>
          </a:r>
          <a:r>
            <a:rPr lang="it-IT" sz="800" b="1" i="0" strike="noStrike">
              <a:solidFill>
                <a:srgbClr val="000000"/>
              </a:solidFill>
              <a:latin typeface="Arial"/>
              <a:cs typeface="Arial"/>
            </a:rPr>
            <a:t> </a:t>
          </a:r>
          <a:r>
            <a:rPr lang="it-IT" sz="800" b="0" i="0" strike="noStrike">
              <a:solidFill>
                <a:srgbClr val="000000"/>
              </a:solidFill>
              <a:latin typeface="Arial"/>
              <a:cs typeface="Arial"/>
            </a:rPr>
            <a:t>- </a:t>
          </a:r>
          <a:r>
            <a:rPr lang="it-IT" sz="900" b="0" i="0" strike="noStrike">
              <a:solidFill>
                <a:srgbClr val="000000"/>
              </a:solidFill>
              <a:latin typeface="Arial"/>
              <a:cs typeface="Arial"/>
            </a:rPr>
            <a:t>Personale a tempo indeterminato e personale dirigente distribuito per classi di anzianità di servizio al 31 dicembre </a:t>
          </a:r>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trlProp" Target="../ctrlProps/ctrlProp2.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8">
    <pageSetUpPr fitToPage="1"/>
  </sheetPr>
  <dimension ref="A1:M366"/>
  <sheetViews>
    <sheetView showGridLines="0" zoomScale="75" zoomScaleNormal="75" workbookViewId="0">
      <selection activeCell="E10" sqref="E10:G10"/>
    </sheetView>
  </sheetViews>
  <sheetFormatPr defaultColWidth="6.33203125" defaultRowHeight="13.5"/>
  <cols>
    <col min="1" max="1" width="6.6640625" style="322" customWidth="1"/>
    <col min="2" max="2" width="25.6640625" style="339" customWidth="1"/>
    <col min="3" max="3" width="31" style="339" customWidth="1"/>
    <col min="4" max="4" width="20.5" style="339" customWidth="1"/>
    <col min="5" max="5" width="40.6640625" style="339" customWidth="1"/>
    <col min="6" max="6" width="29" style="339" customWidth="1"/>
    <col min="7" max="7" width="26" style="339" customWidth="1"/>
    <col min="8" max="10" width="5.33203125" style="322" hidden="1" customWidth="1"/>
    <col min="11" max="11" width="38.6640625" style="322" customWidth="1"/>
    <col min="12" max="16384" width="6.33203125" style="322"/>
  </cols>
  <sheetData>
    <row r="1" spans="1:11" ht="57.75" customHeight="1">
      <c r="A1" s="438" t="s">
        <v>277</v>
      </c>
    </row>
    <row r="2" spans="1:11" s="323" customFormat="1" ht="20.25" customHeight="1">
      <c r="A2" s="356" t="s">
        <v>456</v>
      </c>
      <c r="B2" s="340"/>
      <c r="C2" s="853"/>
      <c r="D2" s="853"/>
      <c r="E2" s="853"/>
      <c r="F2" s="853"/>
      <c r="G2" s="340"/>
    </row>
    <row r="3" spans="1:11" s="323" customFormat="1" ht="27" customHeight="1">
      <c r="A3" s="356"/>
      <c r="B3" s="873" t="str">
        <f>'t1'!A1</f>
        <v>Amministrazioni incluse nell'elenco ISTAT art. 1 c.3 legge 196/2009 (lista S13) - anno 2023</v>
      </c>
      <c r="C3" s="873"/>
      <c r="D3" s="873"/>
      <c r="E3" s="873"/>
      <c r="F3" s="873"/>
      <c r="G3" s="873"/>
    </row>
    <row r="5" spans="1:11">
      <c r="E5" s="322"/>
    </row>
    <row r="6" spans="1:11" ht="18" customHeight="1">
      <c r="B6" s="850" t="s">
        <v>309</v>
      </c>
      <c r="C6" s="851"/>
      <c r="D6" s="851"/>
      <c r="E6" s="851"/>
      <c r="F6" s="851"/>
      <c r="G6" s="852"/>
    </row>
    <row r="7" spans="1:11" ht="6" customHeight="1"/>
    <row r="8" spans="1:11" ht="19.5" hidden="1" customHeight="1">
      <c r="A8" s="357"/>
      <c r="B8" s="339" t="s">
        <v>244</v>
      </c>
      <c r="D8" s="341"/>
      <c r="E8" s="841"/>
      <c r="F8" s="842"/>
      <c r="G8" s="843"/>
    </row>
    <row r="9" spans="1:11" ht="29.1" hidden="1" customHeight="1">
      <c r="A9" s="357"/>
      <c r="B9" s="324" t="s">
        <v>245</v>
      </c>
      <c r="C9" s="324"/>
      <c r="D9" s="582"/>
      <c r="E9" s="854"/>
      <c r="F9" s="855"/>
      <c r="G9" s="856"/>
      <c r="K9" s="439"/>
    </row>
    <row r="10" spans="1:11" ht="29.1" customHeight="1">
      <c r="A10" s="357"/>
      <c r="B10" s="324" t="s">
        <v>246</v>
      </c>
      <c r="C10" s="324"/>
      <c r="D10" s="341"/>
      <c r="E10" s="841"/>
      <c r="F10" s="842"/>
      <c r="G10" s="843"/>
      <c r="K10" s="439"/>
    </row>
    <row r="11" spans="1:11" ht="29.1" hidden="1" customHeight="1">
      <c r="A11" s="357"/>
      <c r="B11" s="324" t="s">
        <v>247</v>
      </c>
      <c r="C11" s="324"/>
      <c r="D11" s="341"/>
      <c r="E11" s="841"/>
      <c r="F11" s="842"/>
      <c r="G11" s="843"/>
      <c r="K11" s="439"/>
    </row>
    <row r="12" spans="1:11" ht="29.1" customHeight="1">
      <c r="A12" s="357"/>
      <c r="B12" s="324" t="s">
        <v>248</v>
      </c>
      <c r="C12" s="324"/>
      <c r="D12" s="341"/>
      <c r="E12" s="844"/>
      <c r="F12" s="842"/>
      <c r="G12" s="843"/>
      <c r="K12" s="439"/>
    </row>
    <row r="13" spans="1:11" ht="29.1" hidden="1" customHeight="1">
      <c r="A13" s="357"/>
      <c r="B13" s="324" t="s">
        <v>249</v>
      </c>
      <c r="C13" s="526"/>
      <c r="D13" s="527"/>
      <c r="E13" s="528"/>
      <c r="F13" s="529"/>
      <c r="G13" s="530"/>
      <c r="H13" s="478"/>
      <c r="I13" s="479"/>
      <c r="K13" s="440"/>
    </row>
    <row r="14" spans="1:11" s="326" customFormat="1" ht="20.25" hidden="1" customHeight="1">
      <c r="A14" s="357"/>
      <c r="B14" s="325"/>
      <c r="C14" s="342" t="s">
        <v>250</v>
      </c>
      <c r="D14" s="326" t="s">
        <v>266</v>
      </c>
      <c r="E14" s="342" t="s">
        <v>251</v>
      </c>
      <c r="F14" s="342" t="s">
        <v>282</v>
      </c>
      <c r="G14" s="342"/>
    </row>
    <row r="15" spans="1:11" s="452" customFormat="1" ht="29.1" customHeight="1">
      <c r="A15" s="339"/>
      <c r="B15" s="324" t="s">
        <v>47</v>
      </c>
      <c r="D15" s="847"/>
      <c r="E15" s="848"/>
      <c r="F15" s="848"/>
      <c r="G15" s="849"/>
    </row>
    <row r="16" spans="1:11" ht="18" customHeight="1">
      <c r="A16" s="357"/>
      <c r="B16" s="850" t="s">
        <v>305</v>
      </c>
      <c r="C16" s="851"/>
      <c r="D16" s="851"/>
      <c r="E16" s="851"/>
      <c r="F16" s="851"/>
      <c r="G16" s="852"/>
    </row>
    <row r="17" spans="1:11" s="327" customFormat="1" ht="15" customHeight="1">
      <c r="A17" s="357"/>
      <c r="B17" s="343" t="s">
        <v>252</v>
      </c>
      <c r="C17" s="559"/>
      <c r="D17" s="559"/>
      <c r="E17" s="559"/>
      <c r="F17" s="559"/>
      <c r="G17" s="559"/>
    </row>
    <row r="18" spans="1:11" s="327" customFormat="1" ht="15.75">
      <c r="A18" s="357"/>
      <c r="B18" s="344" t="s">
        <v>253</v>
      </c>
      <c r="C18" s="344"/>
      <c r="D18" s="344" t="s">
        <v>254</v>
      </c>
      <c r="E18" s="344"/>
      <c r="F18" s="345" t="s">
        <v>261</v>
      </c>
      <c r="G18" s="553"/>
    </row>
    <row r="19" spans="1:11" ht="22.5" customHeight="1">
      <c r="A19" s="357"/>
      <c r="B19" s="841"/>
      <c r="C19" s="842"/>
      <c r="D19" s="841"/>
      <c r="E19" s="842"/>
      <c r="F19" s="844"/>
      <c r="G19" s="843"/>
      <c r="K19" s="440"/>
    </row>
    <row r="20" spans="1:11" s="327" customFormat="1" ht="15" customHeight="1">
      <c r="A20" s="357"/>
      <c r="B20" s="343" t="s">
        <v>255</v>
      </c>
      <c r="D20" s="344"/>
      <c r="E20" s="344"/>
      <c r="F20" s="559"/>
      <c r="G20" s="559"/>
    </row>
    <row r="21" spans="1:11" s="327" customFormat="1" ht="15" customHeight="1">
      <c r="A21" s="357"/>
      <c r="B21" s="344" t="s">
        <v>253</v>
      </c>
      <c r="C21" s="344"/>
      <c r="D21" s="344" t="s">
        <v>254</v>
      </c>
      <c r="E21" s="344"/>
      <c r="F21" s="345" t="s">
        <v>261</v>
      </c>
      <c r="G21" s="554"/>
    </row>
    <row r="22" spans="1:11" ht="23.25" customHeight="1">
      <c r="A22" s="357"/>
      <c r="B22" s="845"/>
      <c r="C22" s="846"/>
      <c r="D22" s="845"/>
      <c r="E22" s="846"/>
      <c r="F22" s="845"/>
      <c r="G22" s="846"/>
      <c r="K22" s="440" t="str">
        <f>IF(OR(LEN(B22)&gt;0,LEN(D22)&gt;0),IF(LEN(F22)=0,"E' NECESSARIO COMPILARE IL CAMPO E-MAIL"," ")," ")</f>
        <v xml:space="preserve"> </v>
      </c>
    </row>
    <row r="23" spans="1:11" ht="23.25" customHeight="1">
      <c r="A23" s="357"/>
      <c r="B23" s="845"/>
      <c r="C23" s="846"/>
      <c r="D23" s="845"/>
      <c r="E23" s="846"/>
      <c r="F23" s="845"/>
      <c r="G23" s="846"/>
      <c r="K23" s="440" t="str">
        <f>IF(OR(LEN(B23)&gt;0,LEN(D23)&gt;0),IF(LEN(F23)=0,"E' NECESSARIO COMPILARE IL CAMPO E-MAIL"," ")," ")</f>
        <v xml:space="preserve"> </v>
      </c>
    </row>
    <row r="24" spans="1:11" ht="23.25" customHeight="1">
      <c r="A24" s="357"/>
      <c r="B24" s="845"/>
      <c r="C24" s="846"/>
      <c r="D24" s="845"/>
      <c r="E24" s="846"/>
      <c r="F24" s="845"/>
      <c r="G24" s="846"/>
      <c r="K24" s="440" t="str">
        <f>IF(OR(LEN(B24)&gt;0,LEN(D24)&gt;0),IF(LEN(F24)=0,"E' NECESSARIO COMPILARE IL CAMPO E-MAIL"," ")," ")</f>
        <v xml:space="preserve"> </v>
      </c>
    </row>
    <row r="25" spans="1:11" ht="23.25" customHeight="1">
      <c r="A25" s="357"/>
      <c r="B25" s="845"/>
      <c r="C25" s="846"/>
      <c r="D25" s="845"/>
      <c r="E25" s="846"/>
      <c r="F25" s="845"/>
      <c r="G25" s="846"/>
      <c r="K25" s="440" t="str">
        <f>IF(OR(LEN(B25)&gt;0,LEN(D25)&gt;0),IF(LEN(F25)=0,"E' NECESSARIO COMPILARE IL CAMPO E-MAIL"," ")," ")</f>
        <v xml:space="preserve"> </v>
      </c>
    </row>
    <row r="26" spans="1:11" ht="23.25" customHeight="1">
      <c r="A26" s="357"/>
      <c r="B26" s="845"/>
      <c r="C26" s="846"/>
      <c r="D26" s="845"/>
      <c r="E26" s="846"/>
      <c r="F26" s="845"/>
      <c r="G26" s="846"/>
      <c r="K26" s="440" t="str">
        <f>IF(OR(LEN(B26)&gt;0,LEN(D26)&gt;0),IF(LEN(F26)=0,"E' NECESSARIO COMPILARE IL CAMPO E-MAIL"," ")," ")</f>
        <v xml:space="preserve"> </v>
      </c>
    </row>
    <row r="27" spans="1:11" ht="18">
      <c r="A27" s="357"/>
      <c r="C27" s="346"/>
      <c r="D27" s="346"/>
      <c r="E27" s="341"/>
      <c r="F27" s="347"/>
      <c r="G27" s="347"/>
    </row>
    <row r="28" spans="1:11" ht="18" customHeight="1">
      <c r="A28" s="357"/>
      <c r="B28" s="349" t="s">
        <v>256</v>
      </c>
      <c r="C28" s="348"/>
      <c r="D28" s="348"/>
      <c r="E28" s="350"/>
      <c r="F28" s="351"/>
      <c r="G28" s="351"/>
      <c r="H28" s="328"/>
    </row>
    <row r="29" spans="1:11" ht="13.5" customHeight="1">
      <c r="A29" s="357"/>
      <c r="B29" s="348"/>
      <c r="C29" s="348"/>
      <c r="D29" s="348"/>
      <c r="E29" s="350"/>
      <c r="F29" s="350"/>
      <c r="G29" s="350"/>
      <c r="H29" s="328"/>
    </row>
    <row r="30" spans="1:11" ht="18" customHeight="1">
      <c r="A30" s="357"/>
      <c r="B30" s="850" t="s">
        <v>306</v>
      </c>
      <c r="C30" s="851"/>
      <c r="D30" s="851"/>
      <c r="E30" s="851"/>
      <c r="F30" s="851"/>
      <c r="G30" s="852"/>
      <c r="H30" s="328"/>
    </row>
    <row r="31" spans="1:11" ht="8.1" customHeight="1">
      <c r="A31" s="357"/>
      <c r="B31" s="599"/>
      <c r="C31" s="600"/>
      <c r="D31" s="600"/>
      <c r="E31" s="322"/>
      <c r="F31" s="600"/>
      <c r="G31" s="600"/>
    </row>
    <row r="32" spans="1:11" s="329" customFormat="1" ht="15.75" customHeight="1">
      <c r="A32" s="357"/>
      <c r="B32" s="601" t="s">
        <v>460</v>
      </c>
      <c r="C32" s="601"/>
      <c r="D32" s="601" t="s">
        <v>461</v>
      </c>
      <c r="E32" s="601" t="s">
        <v>462</v>
      </c>
      <c r="F32" s="658" t="s">
        <v>463</v>
      </c>
      <c r="G32" s="600"/>
    </row>
    <row r="33" spans="1:11" ht="40.9" customHeight="1">
      <c r="A33" s="357"/>
      <c r="B33" s="876"/>
      <c r="C33" s="877"/>
      <c r="D33" s="527"/>
      <c r="E33" s="531"/>
      <c r="F33" s="532"/>
      <c r="G33" s="600"/>
      <c r="K33" s="440" t="str">
        <f>IF(AND(LEN(B33)&gt;0,LEN(D33)&gt;0,LEN(E33)&gt;0,LEN(F33)&gt;0),"","COMPILARE TUTTI I DATI DEL RESPONSABILE CONTRASSEGNATI CON L'ASTERISCO")</f>
        <v>COMPILARE TUTTI I DATI DEL RESPONSABILE CONTRASSEGNATI CON L'ASTERISCO</v>
      </c>
    </row>
    <row r="34" spans="1:11" ht="20.25" hidden="1" customHeight="1">
      <c r="A34" s="357"/>
      <c r="B34" s="874"/>
      <c r="C34" s="875"/>
      <c r="D34" s="602"/>
      <c r="E34" s="441"/>
      <c r="F34" s="604"/>
      <c r="G34" s="604"/>
    </row>
    <row r="35" spans="1:11" ht="18" customHeight="1">
      <c r="A35" s="357"/>
      <c r="B35" s="605"/>
      <c r="C35" s="605"/>
      <c r="D35" s="600"/>
      <c r="E35" s="600"/>
      <c r="F35" s="322"/>
      <c r="G35" s="322"/>
    </row>
    <row r="36" spans="1:11" ht="18" customHeight="1">
      <c r="A36" s="357"/>
      <c r="B36" s="850" t="s">
        <v>406</v>
      </c>
      <c r="C36" s="851"/>
      <c r="D36" s="851"/>
      <c r="E36" s="851"/>
      <c r="F36" s="851"/>
      <c r="G36" s="852"/>
      <c r="H36" s="328"/>
    </row>
    <row r="37" spans="1:11" ht="8.1" customHeight="1">
      <c r="A37" s="357"/>
      <c r="B37" s="599"/>
      <c r="C37" s="600"/>
      <c r="D37" s="600"/>
      <c r="E37" s="322"/>
      <c r="F37" s="600"/>
      <c r="G37" s="600"/>
    </row>
    <row r="38" spans="1:11" s="329" customFormat="1" ht="15.75" customHeight="1">
      <c r="A38" s="357"/>
      <c r="B38" s="601" t="s">
        <v>253</v>
      </c>
      <c r="C38" s="601"/>
      <c r="D38" s="601" t="s">
        <v>254</v>
      </c>
      <c r="E38" s="601" t="s">
        <v>261</v>
      </c>
      <c r="F38" s="329" t="s">
        <v>246</v>
      </c>
      <c r="G38" s="600"/>
    </row>
    <row r="39" spans="1:11" ht="23.25" customHeight="1">
      <c r="A39" s="357"/>
      <c r="B39" s="874"/>
      <c r="C39" s="875"/>
      <c r="D39" s="602"/>
      <c r="E39" s="603"/>
      <c r="F39" s="604"/>
      <c r="G39" s="600"/>
      <c r="K39" s="440"/>
    </row>
    <row r="40" spans="1:11" ht="18" customHeight="1">
      <c r="A40" s="357"/>
      <c r="B40" s="605"/>
      <c r="C40" s="605"/>
      <c r="D40" s="600"/>
      <c r="E40" s="600"/>
      <c r="F40" s="322"/>
      <c r="G40" s="322"/>
    </row>
    <row r="41" spans="1:11" ht="18" customHeight="1">
      <c r="A41" s="357"/>
      <c r="B41" s="850" t="s">
        <v>310</v>
      </c>
      <c r="C41" s="851"/>
      <c r="D41" s="851"/>
      <c r="E41" s="851"/>
      <c r="F41" s="851"/>
      <c r="G41" s="852"/>
    </row>
    <row r="42" spans="1:11" ht="6" customHeight="1">
      <c r="A42" s="357"/>
      <c r="B42" s="324"/>
      <c r="C42" s="324"/>
      <c r="F42" s="352"/>
      <c r="G42" s="352"/>
    </row>
    <row r="43" spans="1:11" ht="15.75" hidden="1">
      <c r="A43" s="357"/>
      <c r="B43" s="330"/>
      <c r="C43" s="324"/>
      <c r="F43"/>
      <c r="G43"/>
      <c r="H43" s="358" t="b">
        <v>0</v>
      </c>
      <c r="I43" s="358" t="b">
        <v>0</v>
      </c>
    </row>
    <row r="44" spans="1:11" ht="29.25" hidden="1" customHeight="1">
      <c r="A44" s="357">
        <v>1</v>
      </c>
      <c r="B44" s="858" t="s">
        <v>257</v>
      </c>
      <c r="C44" s="858"/>
      <c r="D44" s="858"/>
      <c r="E44" s="858"/>
      <c r="F44" s="483"/>
      <c r="G44" s="483"/>
      <c r="H44" s="429"/>
      <c r="I44" s="429"/>
      <c r="J44" s="442"/>
      <c r="K44" s="440"/>
    </row>
    <row r="45" spans="1:11" ht="8.25" hidden="1" customHeight="1">
      <c r="B45" s="330"/>
      <c r="C45" s="324"/>
      <c r="F45" s="523"/>
      <c r="G45" s="523"/>
      <c r="H45" s="358"/>
      <c r="I45" s="358"/>
    </row>
    <row r="46" spans="1:11" ht="29.25" hidden="1" customHeight="1">
      <c r="A46" s="357">
        <v>2</v>
      </c>
      <c r="B46" s="858" t="s">
        <v>257</v>
      </c>
      <c r="C46" s="858"/>
      <c r="D46" s="858"/>
      <c r="E46" s="858"/>
      <c r="F46" s="351"/>
      <c r="G46" s="351"/>
      <c r="H46" s="429"/>
      <c r="I46" s="429"/>
      <c r="J46" s="442"/>
      <c r="K46" s="440"/>
    </row>
    <row r="47" spans="1:11" ht="8.25" hidden="1" customHeight="1">
      <c r="A47" s="357"/>
      <c r="B47" s="330"/>
      <c r="C47" s="324"/>
      <c r="F47" s="523"/>
      <c r="G47" s="523"/>
      <c r="H47" s="358"/>
      <c r="I47" s="358"/>
    </row>
    <row r="48" spans="1:11" ht="29.25" hidden="1" customHeight="1">
      <c r="A48" s="357">
        <v>3</v>
      </c>
      <c r="B48" s="858" t="s">
        <v>257</v>
      </c>
      <c r="C48" s="858"/>
      <c r="D48" s="858"/>
      <c r="E48" s="858"/>
      <c r="F48" s="351"/>
      <c r="G48" s="351"/>
      <c r="H48" s="429"/>
      <c r="I48" s="429"/>
      <c r="J48" s="442"/>
      <c r="K48" s="440"/>
    </row>
    <row r="49" spans="1:11" ht="8.25" hidden="1" customHeight="1">
      <c r="A49" s="357"/>
      <c r="B49" s="524"/>
      <c r="C49" s="524"/>
      <c r="D49" s="524"/>
      <c r="E49" s="524"/>
      <c r="F49" s="523"/>
      <c r="G49" s="523"/>
      <c r="H49" s="358"/>
      <c r="I49" s="358"/>
    </row>
    <row r="50" spans="1:11" ht="29.25" hidden="1" customHeight="1">
      <c r="A50" s="357">
        <v>4</v>
      </c>
      <c r="B50" s="858" t="s">
        <v>257</v>
      </c>
      <c r="C50" s="858"/>
      <c r="D50" s="858"/>
      <c r="E50" s="858"/>
      <c r="F50" s="351"/>
      <c r="G50" s="351"/>
      <c r="H50" s="429"/>
      <c r="I50" s="429"/>
      <c r="J50" s="442"/>
      <c r="K50" s="440"/>
    </row>
    <row r="51" spans="1:11" ht="9.75" hidden="1" customHeight="1">
      <c r="A51" s="357"/>
      <c r="H51" s="429"/>
      <c r="I51" s="429"/>
    </row>
    <row r="52" spans="1:11" ht="15.75" hidden="1">
      <c r="A52" s="357"/>
      <c r="B52" s="322"/>
      <c r="C52" s="322"/>
      <c r="F52" s="352"/>
      <c r="G52" s="353"/>
    </row>
    <row r="53" spans="1:11" ht="27" hidden="1" customHeight="1">
      <c r="A53" s="357">
        <v>5</v>
      </c>
      <c r="B53" s="839" t="s">
        <v>257</v>
      </c>
      <c r="C53" s="839"/>
      <c r="D53" s="839"/>
      <c r="E53" s="839"/>
      <c r="F53" s="840"/>
      <c r="G53" s="552"/>
      <c r="K53" s="440"/>
    </row>
    <row r="54" spans="1:11" ht="4.5" hidden="1" customHeight="1">
      <c r="A54" s="357"/>
      <c r="B54" s="330"/>
      <c r="C54" s="330"/>
      <c r="D54" s="547"/>
      <c r="E54" s="547"/>
      <c r="F54" s="547"/>
      <c r="G54" s="354"/>
    </row>
    <row r="55" spans="1:11" ht="15.75">
      <c r="A55" s="357"/>
      <c r="B55" s="322"/>
      <c r="C55" s="322"/>
      <c r="F55" s="352"/>
      <c r="G55" s="659" t="s">
        <v>465</v>
      </c>
    </row>
    <row r="56" spans="1:11" ht="24" customHeight="1">
      <c r="A56" s="357">
        <v>6</v>
      </c>
      <c r="B56" s="839" t="s">
        <v>546</v>
      </c>
      <c r="C56" s="839"/>
      <c r="D56" s="839"/>
      <c r="E56" s="839"/>
      <c r="F56" s="840"/>
      <c r="G56" s="661">
        <v>0</v>
      </c>
      <c r="K56" s="440" t="str">
        <f>IF(G56="","INSERIRE CAMPO OBBLIGATORIO",IF(G56=" ","INSERIRE NUMERO VALIDO",""))</f>
        <v/>
      </c>
    </row>
    <row r="57" spans="1:11" ht="4.5" customHeight="1">
      <c r="A57" s="357"/>
      <c r="B57" s="330"/>
      <c r="C57" s="330"/>
      <c r="D57" s="548"/>
      <c r="E57" s="548"/>
      <c r="F57" s="476"/>
      <c r="G57" s="600"/>
    </row>
    <row r="58" spans="1:11" ht="15.75">
      <c r="A58" s="357"/>
      <c r="B58" s="322"/>
      <c r="C58" s="322"/>
      <c r="F58" s="352"/>
      <c r="G58" s="659" t="s">
        <v>465</v>
      </c>
    </row>
    <row r="59" spans="1:11" ht="24" customHeight="1">
      <c r="A59" s="357">
        <v>7</v>
      </c>
      <c r="B59" s="839" t="s">
        <v>548</v>
      </c>
      <c r="C59" s="839"/>
      <c r="D59" s="839"/>
      <c r="E59" s="839"/>
      <c r="F59" s="840"/>
      <c r="G59" s="660">
        <v>0</v>
      </c>
      <c r="K59" s="440" t="str">
        <f>IF(G59="","INSERIRE CAMPO OBBLIGATORIO",IF(G59=" ","INSERIRE NUMERO VALIDO",""))</f>
        <v/>
      </c>
    </row>
    <row r="60" spans="1:11" ht="4.5" customHeight="1">
      <c r="A60" s="357"/>
      <c r="B60" s="330"/>
      <c r="C60" s="330"/>
      <c r="D60" s="548"/>
      <c r="E60" s="548"/>
      <c r="F60" s="476"/>
      <c r="G60" s="600" t="s">
        <v>93</v>
      </c>
    </row>
    <row r="61" spans="1:11" ht="15.75">
      <c r="A61" s="357"/>
      <c r="B61" s="322"/>
      <c r="C61" s="322"/>
      <c r="F61" s="352"/>
      <c r="G61" s="659" t="s">
        <v>465</v>
      </c>
    </row>
    <row r="62" spans="1:11" ht="24" customHeight="1">
      <c r="A62" s="357">
        <v>8</v>
      </c>
      <c r="B62" s="839" t="s">
        <v>464</v>
      </c>
      <c r="C62" s="839"/>
      <c r="D62" s="839"/>
      <c r="E62" s="839"/>
      <c r="F62" s="840"/>
      <c r="G62" s="660">
        <v>0</v>
      </c>
      <c r="K62" s="440" t="str">
        <f>IF(G62="","INSERIRE CAMPO OBBLIGATORIO",IF(G62=" ","INSERIRE NUMERO VALIDO",""))</f>
        <v/>
      </c>
    </row>
    <row r="63" spans="1:11" ht="4.5" hidden="1" customHeight="1">
      <c r="A63" s="357"/>
      <c r="B63" s="330"/>
      <c r="C63" s="330"/>
      <c r="D63" s="548"/>
      <c r="E63" s="548"/>
      <c r="F63" s="476"/>
      <c r="G63" s="600" t="s">
        <v>93</v>
      </c>
    </row>
    <row r="64" spans="1:11" ht="15" hidden="1" customHeight="1">
      <c r="A64" s="475"/>
      <c r="B64" s="330"/>
      <c r="C64" s="330"/>
      <c r="D64" s="548"/>
      <c r="E64" s="548"/>
      <c r="F64" s="476"/>
      <c r="G64"/>
      <c r="H64"/>
      <c r="I64" s="477"/>
      <c r="J64" s="477"/>
    </row>
    <row r="65" spans="1:11" ht="15" hidden="1" customHeight="1">
      <c r="A65" s="475"/>
      <c r="B65" s="330"/>
      <c r="C65" s="330"/>
      <c r="D65" s="548"/>
      <c r="E65" s="548"/>
      <c r="F65" s="476"/>
      <c r="G65"/>
      <c r="H65"/>
      <c r="I65" s="472"/>
      <c r="J65" s="477"/>
    </row>
    <row r="66" spans="1:11" ht="15" hidden="1" customHeight="1">
      <c r="A66" s="475"/>
      <c r="B66" s="330"/>
      <c r="C66" s="330"/>
      <c r="D66" s="548"/>
      <c r="E66" s="548"/>
      <c r="F66" s="476"/>
      <c r="G66"/>
      <c r="H66"/>
      <c r="I66" s="472"/>
      <c r="J66" s="477"/>
    </row>
    <row r="67" spans="1:11" ht="15" hidden="1" customHeight="1">
      <c r="A67" s="475"/>
      <c r="B67" s="330"/>
      <c r="C67" s="330"/>
      <c r="D67" s="548"/>
      <c r="E67" s="548"/>
      <c r="F67" s="476"/>
      <c r="G67"/>
      <c r="H67"/>
      <c r="I67" s="472"/>
      <c r="J67" s="477"/>
    </row>
    <row r="68" spans="1:11" ht="15" hidden="1" customHeight="1">
      <c r="A68" s="475"/>
      <c r="B68" s="330"/>
      <c r="C68" s="330"/>
      <c r="D68" s="548"/>
      <c r="E68" s="548"/>
      <c r="F68" s="476"/>
      <c r="G68"/>
      <c r="H68"/>
      <c r="I68" s="472"/>
      <c r="J68" s="477"/>
    </row>
    <row r="69" spans="1:11" ht="15" hidden="1" customHeight="1">
      <c r="A69" s="475"/>
      <c r="B69" s="330"/>
      <c r="C69" s="330"/>
      <c r="D69" s="548"/>
      <c r="E69" s="548"/>
      <c r="F69" s="476"/>
      <c r="G69"/>
      <c r="H69"/>
      <c r="I69" s="472"/>
      <c r="J69" s="477"/>
    </row>
    <row r="70" spans="1:11" ht="10.15" hidden="1" customHeight="1">
      <c r="A70" s="357"/>
      <c r="B70" s="330"/>
      <c r="C70" s="330"/>
      <c r="D70" s="548"/>
      <c r="E70" s="548"/>
      <c r="F70" s="476"/>
      <c r="G70" s="480"/>
    </row>
    <row r="71" spans="1:11" ht="10.15" hidden="1" customHeight="1">
      <c r="A71" s="357"/>
      <c r="B71" s="330"/>
      <c r="C71" s="330"/>
      <c r="D71" s="548"/>
      <c r="E71" s="548"/>
      <c r="F71" s="476"/>
      <c r="G71" s="480"/>
    </row>
    <row r="72" spans="1:11" ht="10.15" hidden="1" customHeight="1">
      <c r="A72" s="357"/>
      <c r="B72" s="330"/>
      <c r="C72" s="330"/>
      <c r="D72" s="548"/>
      <c r="E72" s="548"/>
      <c r="F72" s="476"/>
      <c r="G72" s="480"/>
    </row>
    <row r="73" spans="1:11" ht="10.15" hidden="1" customHeight="1">
      <c r="A73" s="357"/>
      <c r="B73" s="330"/>
      <c r="C73" s="330"/>
      <c r="D73" s="548"/>
      <c r="E73" s="548"/>
      <c r="F73" s="476"/>
      <c r="G73" s="480"/>
    </row>
    <row r="74" spans="1:11" ht="10.15" hidden="1" customHeight="1">
      <c r="A74" s="357"/>
      <c r="B74" s="330"/>
      <c r="C74" s="330"/>
      <c r="D74" s="548"/>
      <c r="E74" s="548"/>
      <c r="F74" s="476"/>
      <c r="G74" s="480"/>
    </row>
    <row r="75" spans="1:11" ht="10.15" hidden="1" customHeight="1">
      <c r="A75" s="357"/>
      <c r="B75" s="330"/>
      <c r="C75" s="330"/>
      <c r="D75" s="548"/>
      <c r="E75" s="548"/>
      <c r="F75" s="476"/>
      <c r="G75" s="480"/>
    </row>
    <row r="76" spans="1:11" ht="10.15" hidden="1" customHeight="1">
      <c r="A76" s="357"/>
      <c r="B76" s="330"/>
      <c r="C76" s="330"/>
      <c r="D76" s="548"/>
      <c r="E76" s="548"/>
      <c r="F76" s="476"/>
      <c r="G76" s="480"/>
    </row>
    <row r="77" spans="1:11" ht="10.15" hidden="1" customHeight="1">
      <c r="A77" s="357"/>
      <c r="B77" s="330"/>
      <c r="C77" s="330"/>
      <c r="D77" s="548"/>
      <c r="E77" s="548"/>
      <c r="F77" s="476"/>
      <c r="G77" s="480"/>
    </row>
    <row r="78" spans="1:11" ht="10.15" hidden="1" customHeight="1">
      <c r="A78" s="357"/>
      <c r="B78" s="330"/>
      <c r="C78" s="330"/>
      <c r="D78" s="548"/>
      <c r="E78" s="548"/>
      <c r="F78" s="476"/>
      <c r="G78" s="480"/>
    </row>
    <row r="79" spans="1:11" ht="10.15" hidden="1" customHeight="1">
      <c r="A79" s="357"/>
      <c r="B79" s="330"/>
      <c r="C79" s="330"/>
      <c r="D79" s="548"/>
      <c r="E79" s="548"/>
      <c r="F79" s="476"/>
      <c r="G79" s="473"/>
      <c r="K79" s="440"/>
    </row>
    <row r="80" spans="1:11" ht="17.25" hidden="1" customHeight="1">
      <c r="A80" s="357"/>
      <c r="B80" s="330"/>
      <c r="C80" s="330"/>
      <c r="D80" s="548"/>
      <c r="E80" s="548"/>
      <c r="F80" s="476"/>
    </row>
    <row r="81" spans="1:11" ht="15.75" hidden="1">
      <c r="A81" s="357"/>
      <c r="B81" s="322"/>
      <c r="C81" s="322"/>
      <c r="F81" s="352"/>
      <c r="G81" s="353"/>
    </row>
    <row r="82" spans="1:11" ht="27" hidden="1" customHeight="1">
      <c r="A82" s="357">
        <v>9</v>
      </c>
      <c r="B82" s="839" t="s">
        <v>257</v>
      </c>
      <c r="C82" s="839"/>
      <c r="D82" s="839"/>
      <c r="E82" s="839"/>
      <c r="F82" s="840"/>
      <c r="G82" s="552"/>
      <c r="K82" s="440"/>
    </row>
    <row r="83" spans="1:11" ht="5.25" hidden="1" customHeight="1">
      <c r="A83" s="357"/>
      <c r="B83" s="437"/>
      <c r="C83" s="437"/>
      <c r="D83" s="437"/>
      <c r="E83" s="437"/>
      <c r="F83" s="437"/>
      <c r="K83" s="440"/>
    </row>
    <row r="84" spans="1:11" ht="15.75" hidden="1">
      <c r="A84" s="357"/>
      <c r="B84" s="322"/>
      <c r="C84" s="322"/>
      <c r="F84" s="352"/>
      <c r="G84" s="353"/>
    </row>
    <row r="85" spans="1:11" ht="27" hidden="1" customHeight="1">
      <c r="A85" s="357">
        <v>10</v>
      </c>
      <c r="B85" s="839" t="s">
        <v>257</v>
      </c>
      <c r="C85" s="839"/>
      <c r="D85" s="839"/>
      <c r="E85" s="839"/>
      <c r="F85" s="840"/>
      <c r="G85" s="552"/>
      <c r="K85" s="440"/>
    </row>
    <row r="86" spans="1:11" ht="5.25" hidden="1" customHeight="1">
      <c r="A86" s="357"/>
      <c r="B86" s="524"/>
      <c r="C86" s="524"/>
      <c r="D86" s="524"/>
      <c r="E86" s="524"/>
      <c r="F86" s="581"/>
      <c r="K86" s="440"/>
    </row>
    <row r="87" spans="1:11" ht="15.75" hidden="1">
      <c r="A87" s="357"/>
      <c r="B87" s="476"/>
      <c r="C87" s="549"/>
      <c r="D87" s="550"/>
      <c r="E87" s="550"/>
      <c r="F87" s="551"/>
      <c r="G87" s="353"/>
    </row>
    <row r="88" spans="1:11" ht="27" hidden="1" customHeight="1">
      <c r="A88" s="357">
        <v>11</v>
      </c>
      <c r="B88" s="839" t="s">
        <v>257</v>
      </c>
      <c r="C88" s="839"/>
      <c r="D88" s="839"/>
      <c r="E88" s="839"/>
      <c r="F88" s="840"/>
      <c r="G88" s="552"/>
      <c r="K88" s="440"/>
    </row>
    <row r="89" spans="1:11" ht="5.25" hidden="1" customHeight="1">
      <c r="A89" s="357"/>
      <c r="B89" s="437"/>
      <c r="C89" s="437"/>
      <c r="D89" s="437"/>
      <c r="E89" s="437"/>
      <c r="F89" s="437"/>
      <c r="K89" s="440"/>
    </row>
    <row r="90" spans="1:11" ht="15" hidden="1">
      <c r="A90" s="546"/>
      <c r="B90" s="322"/>
      <c r="C90" s="322"/>
      <c r="F90" s="352"/>
      <c r="G90" s="353"/>
    </row>
    <row r="91" spans="1:11" ht="27" hidden="1" customHeight="1">
      <c r="A91" s="357">
        <v>12</v>
      </c>
      <c r="B91" s="839" t="s">
        <v>257</v>
      </c>
      <c r="C91" s="839"/>
      <c r="D91" s="839"/>
      <c r="E91" s="839"/>
      <c r="F91" s="840"/>
      <c r="G91" s="552"/>
      <c r="K91" s="440"/>
    </row>
    <row r="92" spans="1:11" ht="4.5" hidden="1" customHeight="1">
      <c r="A92" s="357"/>
      <c r="B92" s="437"/>
      <c r="C92" s="437"/>
      <c r="D92" s="437"/>
      <c r="E92" s="437"/>
      <c r="F92" s="437"/>
      <c r="G92" s="437"/>
      <c r="K92" s="440"/>
    </row>
    <row r="93" spans="1:11" ht="15.75" hidden="1">
      <c r="A93" s="357"/>
      <c r="B93" s="476"/>
      <c r="C93" s="549"/>
      <c r="D93" s="550"/>
      <c r="E93" s="550"/>
      <c r="F93" s="551"/>
      <c r="G93" s="353"/>
    </row>
    <row r="94" spans="1:11" ht="27" hidden="1" customHeight="1">
      <c r="A94" s="357">
        <v>13</v>
      </c>
      <c r="B94" s="839" t="s">
        <v>257</v>
      </c>
      <c r="C94" s="839"/>
      <c r="D94" s="839"/>
      <c r="E94" s="839"/>
      <c r="F94" s="840"/>
      <c r="G94" s="552"/>
      <c r="K94" s="440"/>
    </row>
    <row r="95" spans="1:11" ht="4.5" hidden="1" customHeight="1">
      <c r="A95" s="357"/>
      <c r="B95" s="437"/>
      <c r="C95" s="437"/>
      <c r="D95" s="437"/>
      <c r="E95" s="437"/>
      <c r="F95" s="437"/>
      <c r="G95" s="437"/>
      <c r="K95" s="440"/>
    </row>
    <row r="96" spans="1:11" ht="15.75" hidden="1">
      <c r="A96" s="357"/>
      <c r="B96" s="476"/>
      <c r="C96" s="549"/>
      <c r="D96" s="550"/>
      <c r="E96" s="550"/>
      <c r="F96" s="551"/>
      <c r="G96" s="353"/>
    </row>
    <row r="97" spans="1:11" ht="27" hidden="1" customHeight="1">
      <c r="A97" s="357">
        <v>30</v>
      </c>
      <c r="B97" s="839" t="s">
        <v>257</v>
      </c>
      <c r="C97" s="839"/>
      <c r="D97" s="839"/>
      <c r="E97" s="839"/>
      <c r="F97" s="840"/>
      <c r="G97" s="552"/>
      <c r="K97" s="440"/>
    </row>
    <row r="98" spans="1:11" ht="4.5" hidden="1" customHeight="1">
      <c r="A98" s="357"/>
      <c r="B98" s="437"/>
      <c r="C98" s="437"/>
      <c r="D98" s="437"/>
      <c r="E98" s="437"/>
      <c r="F98" s="437"/>
      <c r="G98" s="437"/>
      <c r="K98" s="440"/>
    </row>
    <row r="99" spans="1:11" ht="15.75" hidden="1">
      <c r="A99" s="357"/>
      <c r="B99" s="322"/>
      <c r="C99" s="322"/>
      <c r="F99" s="352"/>
      <c r="G99" s="353"/>
    </row>
    <row r="100" spans="1:11" ht="27" hidden="1" customHeight="1">
      <c r="A100" s="357">
        <v>31</v>
      </c>
      <c r="B100" s="839" t="s">
        <v>257</v>
      </c>
      <c r="C100" s="839"/>
      <c r="D100" s="839"/>
      <c r="E100" s="839"/>
      <c r="F100" s="840"/>
      <c r="G100" s="552"/>
      <c r="K100" s="440"/>
    </row>
    <row r="101" spans="1:11" ht="4.5" hidden="1" customHeight="1">
      <c r="A101" s="357"/>
      <c r="B101" s="437"/>
      <c r="C101" s="437"/>
      <c r="D101" s="437"/>
      <c r="E101" s="437"/>
      <c r="F101" s="437"/>
      <c r="G101" s="437"/>
      <c r="K101" s="440"/>
    </row>
    <row r="102" spans="1:11" ht="15.75" hidden="1">
      <c r="A102" s="357"/>
      <c r="B102" s="476"/>
      <c r="C102" s="549"/>
      <c r="D102" s="550"/>
      <c r="E102" s="550"/>
      <c r="F102" s="551"/>
      <c r="G102" s="659"/>
    </row>
    <row r="103" spans="1:11" ht="27" hidden="1" customHeight="1">
      <c r="A103" s="357">
        <v>32</v>
      </c>
      <c r="B103" s="839" t="s">
        <v>257</v>
      </c>
      <c r="C103" s="839"/>
      <c r="D103" s="839"/>
      <c r="E103" s="839"/>
      <c r="F103" s="840"/>
      <c r="G103" s="552"/>
      <c r="K103" s="440"/>
    </row>
    <row r="104" spans="1:11" ht="4.5" customHeight="1">
      <c r="A104" s="357"/>
      <c r="B104" s="437"/>
      <c r="C104" s="437"/>
      <c r="D104" s="437"/>
      <c r="E104" s="437"/>
      <c r="F104" s="437"/>
      <c r="G104" s="437"/>
      <c r="K104" s="440"/>
    </row>
    <row r="105" spans="1:11" ht="15.75">
      <c r="A105" s="357"/>
      <c r="B105" s="476"/>
      <c r="C105" s="549"/>
      <c r="D105" s="550"/>
      <c r="E105" s="550"/>
      <c r="F105" s="551"/>
      <c r="G105" s="659" t="s">
        <v>258</v>
      </c>
    </row>
    <row r="106" spans="1:11" ht="27" customHeight="1">
      <c r="A106" s="357">
        <v>33</v>
      </c>
      <c r="B106" s="839" t="s">
        <v>402</v>
      </c>
      <c r="C106" s="839"/>
      <c r="D106" s="839"/>
      <c r="E106" s="839"/>
      <c r="F106" s="840"/>
      <c r="G106" s="660"/>
      <c r="K106" s="440"/>
    </row>
    <row r="107" spans="1:11" ht="4.5" customHeight="1">
      <c r="A107" s="357"/>
      <c r="B107" s="437"/>
      <c r="C107" s="437"/>
      <c r="D107" s="437"/>
      <c r="E107" s="437"/>
      <c r="F107" s="437"/>
      <c r="G107" s="437"/>
      <c r="K107" s="440"/>
    </row>
    <row r="108" spans="1:11" ht="15.75">
      <c r="A108" s="357"/>
      <c r="B108" s="476"/>
      <c r="C108" s="549"/>
      <c r="D108" s="550"/>
      <c r="E108" s="550"/>
      <c r="F108" s="551"/>
      <c r="G108" s="659" t="s">
        <v>258</v>
      </c>
    </row>
    <row r="109" spans="1:11" ht="27" customHeight="1">
      <c r="A109" s="357">
        <v>34</v>
      </c>
      <c r="B109" s="839" t="s">
        <v>403</v>
      </c>
      <c r="C109" s="839"/>
      <c r="D109" s="839"/>
      <c r="E109" s="839"/>
      <c r="F109" s="840"/>
      <c r="G109" s="660"/>
      <c r="K109" s="440"/>
    </row>
    <row r="110" spans="1:11" ht="4.5" hidden="1" customHeight="1">
      <c r="A110" s="357"/>
      <c r="B110" s="437"/>
      <c r="C110" s="437"/>
      <c r="D110" s="437"/>
      <c r="E110" s="437"/>
      <c r="F110" s="437"/>
      <c r="G110" s="437"/>
      <c r="K110" s="440"/>
    </row>
    <row r="111" spans="1:11" ht="15.75" hidden="1">
      <c r="A111" s="357"/>
      <c r="B111" s="476"/>
      <c r="C111" s="549"/>
      <c r="D111" s="550"/>
      <c r="E111" s="550"/>
      <c r="F111" s="551"/>
      <c r="G111" s="353"/>
    </row>
    <row r="112" spans="1:11" ht="27" hidden="1" customHeight="1">
      <c r="A112" s="357">
        <v>35</v>
      </c>
      <c r="B112" s="839" t="s">
        <v>257</v>
      </c>
      <c r="C112" s="839"/>
      <c r="D112" s="839"/>
      <c r="E112" s="839"/>
      <c r="F112" s="840"/>
      <c r="G112" s="552"/>
      <c r="K112" s="440"/>
    </row>
    <row r="113" spans="1:11" ht="4.5" hidden="1" customHeight="1">
      <c r="A113" s="357"/>
      <c r="B113" s="437"/>
      <c r="C113" s="437"/>
      <c r="D113" s="437"/>
      <c r="E113" s="437"/>
      <c r="F113" s="437"/>
      <c r="G113" s="437"/>
      <c r="K113" s="440"/>
    </row>
    <row r="114" spans="1:11" ht="15.75" hidden="1">
      <c r="A114" s="357"/>
      <c r="B114" s="476"/>
      <c r="C114" s="549"/>
      <c r="D114" s="550"/>
      <c r="E114" s="550"/>
      <c r="F114" s="551"/>
      <c r="G114" s="353"/>
    </row>
    <row r="115" spans="1:11" ht="27" hidden="1" customHeight="1">
      <c r="A115" s="357">
        <v>36</v>
      </c>
      <c r="B115" s="839" t="s">
        <v>257</v>
      </c>
      <c r="C115" s="839"/>
      <c r="D115" s="839"/>
      <c r="E115" s="839"/>
      <c r="F115" s="840"/>
      <c r="G115" s="552"/>
      <c r="K115" s="440"/>
    </row>
    <row r="116" spans="1:11" ht="4.5" hidden="1" customHeight="1">
      <c r="A116" s="357"/>
      <c r="B116" s="437"/>
      <c r="C116" s="437"/>
      <c r="D116" s="437"/>
      <c r="E116" s="437"/>
      <c r="F116" s="437"/>
      <c r="G116" s="437"/>
      <c r="K116" s="440"/>
    </row>
    <row r="117" spans="1:11" ht="15.75" hidden="1">
      <c r="A117" s="357"/>
      <c r="B117" s="476"/>
      <c r="C117" s="549"/>
      <c r="D117" s="550"/>
      <c r="E117" s="550"/>
      <c r="F117" s="551"/>
      <c r="G117" s="353"/>
    </row>
    <row r="118" spans="1:11" ht="27" hidden="1" customHeight="1">
      <c r="A118" s="357">
        <v>37</v>
      </c>
      <c r="B118" s="839" t="s">
        <v>257</v>
      </c>
      <c r="C118" s="839"/>
      <c r="D118" s="839"/>
      <c r="E118" s="839"/>
      <c r="F118" s="840"/>
      <c r="G118" s="552"/>
      <c r="K118" s="440"/>
    </row>
    <row r="119" spans="1:11" ht="4.5" hidden="1" customHeight="1">
      <c r="A119" s="357"/>
      <c r="B119" s="437"/>
      <c r="C119" s="437"/>
      <c r="D119" s="437"/>
      <c r="E119" s="437"/>
      <c r="F119" s="437"/>
      <c r="G119" s="437"/>
      <c r="K119" s="440"/>
    </row>
    <row r="120" spans="1:11" ht="15.75" hidden="1">
      <c r="A120" s="357"/>
      <c r="B120" s="476"/>
      <c r="C120" s="549"/>
      <c r="D120" s="550"/>
      <c r="E120" s="550"/>
      <c r="F120" s="551"/>
      <c r="G120" s="353"/>
    </row>
    <row r="121" spans="1:11" ht="27" hidden="1" customHeight="1">
      <c r="A121" s="357">
        <v>38</v>
      </c>
      <c r="B121" s="839" t="s">
        <v>257</v>
      </c>
      <c r="C121" s="839"/>
      <c r="D121" s="839"/>
      <c r="E121" s="839"/>
      <c r="F121" s="840"/>
      <c r="G121" s="552"/>
      <c r="K121" s="440"/>
    </row>
    <row r="122" spans="1:11" ht="4.5" hidden="1" customHeight="1">
      <c r="A122" s="357"/>
      <c r="B122" s="437"/>
      <c r="C122" s="437"/>
      <c r="D122" s="437"/>
      <c r="E122" s="437"/>
      <c r="F122" s="437"/>
      <c r="G122" s="437"/>
      <c r="K122" s="440"/>
    </row>
    <row r="123" spans="1:11" ht="15.75" hidden="1">
      <c r="A123" s="357"/>
      <c r="B123" s="476"/>
      <c r="C123" s="549"/>
      <c r="D123" s="550"/>
      <c r="E123" s="550"/>
      <c r="F123" s="551"/>
      <c r="G123" s="353"/>
    </row>
    <row r="124" spans="1:11" ht="27" hidden="1" customHeight="1">
      <c r="A124" s="357">
        <v>39</v>
      </c>
      <c r="B124" s="839" t="s">
        <v>257</v>
      </c>
      <c r="C124" s="839"/>
      <c r="D124" s="839"/>
      <c r="E124" s="839"/>
      <c r="F124" s="840"/>
      <c r="G124" s="552"/>
      <c r="K124" s="440"/>
    </row>
    <row r="125" spans="1:11" ht="4.5" hidden="1" customHeight="1">
      <c r="A125" s="357"/>
      <c r="B125" s="437"/>
      <c r="C125" s="437"/>
      <c r="D125" s="437"/>
      <c r="E125" s="437"/>
      <c r="F125" s="437"/>
      <c r="G125" s="437"/>
      <c r="K125" s="440"/>
    </row>
    <row r="126" spans="1:11" ht="15.75" hidden="1">
      <c r="A126" s="357"/>
      <c r="B126" s="322"/>
      <c r="C126" s="322"/>
      <c r="F126" s="352"/>
      <c r="G126" s="353"/>
    </row>
    <row r="127" spans="1:11" ht="27" hidden="1" customHeight="1">
      <c r="A127" s="357">
        <v>40</v>
      </c>
      <c r="B127" s="839" t="s">
        <v>257</v>
      </c>
      <c r="C127" s="839"/>
      <c r="D127" s="839"/>
      <c r="E127" s="839"/>
      <c r="F127" s="840"/>
      <c r="G127" s="552"/>
      <c r="K127" s="440"/>
    </row>
    <row r="128" spans="1:11" ht="4.5" hidden="1" customHeight="1">
      <c r="A128" s="357"/>
      <c r="B128" s="437"/>
      <c r="C128" s="437"/>
      <c r="D128" s="437"/>
      <c r="E128" s="437"/>
      <c r="F128" s="437"/>
      <c r="G128" s="437"/>
      <c r="K128" s="440"/>
    </row>
    <row r="129" spans="1:11" ht="15.75" hidden="1">
      <c r="A129" s="357"/>
      <c r="B129" s="476"/>
      <c r="C129" s="549"/>
      <c r="D129" s="550"/>
      <c r="E129" s="550"/>
      <c r="F129" s="551"/>
      <c r="G129" s="353"/>
    </row>
    <row r="130" spans="1:11" ht="27" hidden="1" customHeight="1">
      <c r="A130" s="357">
        <v>41</v>
      </c>
      <c r="B130" s="839" t="s">
        <v>257</v>
      </c>
      <c r="C130" s="839"/>
      <c r="D130" s="839"/>
      <c r="E130" s="839"/>
      <c r="F130" s="840"/>
      <c r="G130" s="552"/>
      <c r="K130" s="440"/>
    </row>
    <row r="131" spans="1:11" ht="4.5" hidden="1" customHeight="1">
      <c r="A131" s="357"/>
      <c r="B131" s="437"/>
      <c r="C131" s="437"/>
      <c r="D131" s="437"/>
      <c r="E131" s="437"/>
      <c r="F131" s="437"/>
      <c r="G131" s="437"/>
      <c r="K131" s="440"/>
    </row>
    <row r="132" spans="1:11" ht="15.75" hidden="1">
      <c r="A132" s="357"/>
      <c r="B132" s="476"/>
      <c r="C132" s="549"/>
      <c r="D132" s="550"/>
      <c r="E132" s="550"/>
      <c r="F132" s="551"/>
      <c r="G132" s="353"/>
    </row>
    <row r="133" spans="1:11" ht="27" hidden="1" customHeight="1">
      <c r="A133" s="357">
        <v>42</v>
      </c>
      <c r="B133" s="839" t="s">
        <v>257</v>
      </c>
      <c r="C133" s="839"/>
      <c r="D133" s="839"/>
      <c r="E133" s="839"/>
      <c r="F133" s="840"/>
      <c r="G133" s="552"/>
      <c r="K133" s="440"/>
    </row>
    <row r="134" spans="1:11" ht="4.5" hidden="1" customHeight="1">
      <c r="A134" s="357"/>
      <c r="B134" s="437"/>
      <c r="C134" s="437"/>
      <c r="D134" s="437"/>
      <c r="E134" s="437"/>
      <c r="F134" s="437"/>
      <c r="G134" s="437"/>
      <c r="K134" s="440"/>
    </row>
    <row r="135" spans="1:11" ht="15.75" hidden="1">
      <c r="A135" s="357"/>
      <c r="B135" s="476"/>
      <c r="C135" s="549"/>
      <c r="D135" s="550"/>
      <c r="E135" s="550"/>
      <c r="F135" s="551"/>
      <c r="G135" s="353"/>
    </row>
    <row r="136" spans="1:11" ht="27" hidden="1" customHeight="1">
      <c r="A136" s="357">
        <v>43</v>
      </c>
      <c r="B136" s="839" t="s">
        <v>257</v>
      </c>
      <c r="C136" s="839"/>
      <c r="D136" s="839"/>
      <c r="E136" s="839"/>
      <c r="F136" s="840"/>
      <c r="G136" s="552"/>
      <c r="K136" s="440"/>
    </row>
    <row r="137" spans="1:11" ht="4.5" hidden="1" customHeight="1">
      <c r="A137" s="357"/>
      <c r="B137" s="437"/>
      <c r="C137" s="437"/>
      <c r="D137" s="437"/>
      <c r="E137" s="437"/>
      <c r="F137" s="437"/>
      <c r="G137" s="437"/>
      <c r="K137" s="440"/>
    </row>
    <row r="138" spans="1:11" ht="15.75" hidden="1">
      <c r="A138" s="357"/>
      <c r="B138" s="476"/>
      <c r="C138" s="549"/>
      <c r="D138" s="550"/>
      <c r="E138" s="550"/>
      <c r="F138" s="551"/>
      <c r="G138" s="353"/>
    </row>
    <row r="139" spans="1:11" ht="27" hidden="1" customHeight="1">
      <c r="A139" s="357">
        <v>44</v>
      </c>
      <c r="B139" s="839" t="s">
        <v>257</v>
      </c>
      <c r="C139" s="839"/>
      <c r="D139" s="839"/>
      <c r="E139" s="839"/>
      <c r="F139" s="840"/>
      <c r="G139" s="552"/>
      <c r="K139" s="440"/>
    </row>
    <row r="140" spans="1:11" ht="4.5" hidden="1" customHeight="1">
      <c r="A140" s="357"/>
      <c r="B140" s="437"/>
      <c r="C140" s="437"/>
      <c r="D140" s="437"/>
      <c r="E140" s="437"/>
      <c r="F140" s="437"/>
      <c r="G140" s="437"/>
      <c r="K140" s="440"/>
    </row>
    <row r="141" spans="1:11" ht="15.75" hidden="1">
      <c r="A141" s="357"/>
      <c r="B141" s="476"/>
      <c r="C141" s="549"/>
      <c r="D141" s="550"/>
      <c r="E141" s="550"/>
      <c r="F141" s="551"/>
      <c r="G141" s="353"/>
    </row>
    <row r="142" spans="1:11" ht="27" hidden="1" customHeight="1">
      <c r="A142" s="357">
        <v>45</v>
      </c>
      <c r="B142" s="839" t="s">
        <v>257</v>
      </c>
      <c r="C142" s="839"/>
      <c r="D142" s="839"/>
      <c r="E142" s="839"/>
      <c r="F142" s="840"/>
      <c r="G142" s="552"/>
      <c r="K142" s="440"/>
    </row>
    <row r="143" spans="1:11" ht="4.5" hidden="1" customHeight="1">
      <c r="A143" s="357"/>
      <c r="B143" s="437"/>
      <c r="C143" s="437"/>
      <c r="D143" s="437"/>
      <c r="E143" s="437"/>
      <c r="F143" s="437"/>
      <c r="G143" s="437"/>
      <c r="K143" s="440"/>
    </row>
    <row r="144" spans="1:11" ht="15.75" hidden="1">
      <c r="A144" s="357"/>
      <c r="B144" s="476"/>
      <c r="C144" s="549"/>
      <c r="D144" s="550"/>
      <c r="E144" s="550"/>
      <c r="F144" s="551"/>
      <c r="G144" s="353"/>
    </row>
    <row r="145" spans="1:11" ht="27" hidden="1" customHeight="1">
      <c r="A145" s="357">
        <v>46</v>
      </c>
      <c r="B145" s="839" t="s">
        <v>257</v>
      </c>
      <c r="C145" s="839"/>
      <c r="D145" s="839"/>
      <c r="E145" s="839"/>
      <c r="F145" s="840"/>
      <c r="G145" s="552"/>
      <c r="K145" s="440"/>
    </row>
    <row r="146" spans="1:11" ht="4.1500000000000004" hidden="1" customHeight="1">
      <c r="A146" s="357"/>
      <c r="B146" s="437"/>
      <c r="C146" s="437"/>
      <c r="D146" s="437"/>
      <c r="E146" s="437"/>
      <c r="F146" s="437"/>
      <c r="G146" s="600"/>
      <c r="K146" s="440"/>
    </row>
    <row r="147" spans="1:11" ht="15" hidden="1" customHeight="1">
      <c r="A147" s="357"/>
      <c r="B147" s="437"/>
      <c r="C147" s="437"/>
      <c r="D147" s="437"/>
      <c r="E147" s="437"/>
      <c r="F147" s="437"/>
      <c r="G147" s="659"/>
      <c r="K147" s="440"/>
    </row>
    <row r="148" spans="1:11" ht="27" hidden="1" customHeight="1">
      <c r="A148" s="357">
        <v>47</v>
      </c>
      <c r="B148" s="839" t="s">
        <v>257</v>
      </c>
      <c r="C148" s="839"/>
      <c r="D148" s="839"/>
      <c r="E148" s="839"/>
      <c r="F148" s="840"/>
      <c r="G148" s="552"/>
      <c r="K148" s="440"/>
    </row>
    <row r="149" spans="1:11" ht="4.1500000000000004" hidden="1" customHeight="1">
      <c r="A149" s="357"/>
      <c r="B149" s="322"/>
      <c r="C149" s="437"/>
      <c r="D149" s="437"/>
      <c r="E149" s="437"/>
      <c r="F149" s="437"/>
      <c r="G149" s="437"/>
      <c r="K149" s="440"/>
    </row>
    <row r="150" spans="1:11" ht="15" hidden="1" customHeight="1">
      <c r="A150" s="357"/>
      <c r="B150" s="437"/>
      <c r="C150" s="437"/>
      <c r="D150" s="437"/>
      <c r="E150" s="437"/>
      <c r="F150" s="437"/>
      <c r="G150" s="659"/>
      <c r="K150" s="440"/>
    </row>
    <row r="151" spans="1:11" ht="27" hidden="1" customHeight="1">
      <c r="A151" s="357">
        <v>48</v>
      </c>
      <c r="B151" s="839" t="s">
        <v>257</v>
      </c>
      <c r="C151" s="839"/>
      <c r="D151" s="839"/>
      <c r="E151" s="839"/>
      <c r="F151" s="840"/>
      <c r="G151" s="552"/>
      <c r="K151" s="440"/>
    </row>
    <row r="152" spans="1:11" ht="3.6" hidden="1" customHeight="1">
      <c r="A152" s="357"/>
      <c r="B152" s="437"/>
      <c r="C152" s="437"/>
      <c r="D152" s="437"/>
      <c r="E152" s="437"/>
      <c r="F152" s="437"/>
      <c r="G152" s="600"/>
      <c r="K152" s="440"/>
    </row>
    <row r="153" spans="1:11" ht="15" hidden="1" customHeight="1">
      <c r="A153" s="357"/>
      <c r="B153" s="437"/>
      <c r="C153" s="437"/>
      <c r="D153" s="437"/>
      <c r="E153" s="437"/>
      <c r="F153" s="437"/>
      <c r="G153" s="659"/>
      <c r="K153" s="440"/>
    </row>
    <row r="154" spans="1:11" ht="27" hidden="1" customHeight="1">
      <c r="A154" s="357">
        <v>49</v>
      </c>
      <c r="B154" s="839" t="s">
        <v>257</v>
      </c>
      <c r="C154" s="839"/>
      <c r="D154" s="839"/>
      <c r="E154" s="839"/>
      <c r="F154" s="840"/>
      <c r="G154" s="552"/>
      <c r="K154" s="440"/>
    </row>
    <row r="155" spans="1:11" ht="4.5" hidden="1" customHeight="1">
      <c r="A155" s="357"/>
      <c r="B155" s="437"/>
      <c r="C155" s="437"/>
      <c r="D155" s="437"/>
      <c r="E155" s="437"/>
      <c r="F155" s="437"/>
      <c r="G155" s="437"/>
      <c r="K155" s="440"/>
    </row>
    <row r="156" spans="1:11" ht="15.75" hidden="1">
      <c r="A156" s="357"/>
      <c r="B156" s="476"/>
      <c r="C156" s="549"/>
      <c r="D156" s="550"/>
      <c r="E156" s="550"/>
      <c r="F156" s="551"/>
      <c r="G156" s="659"/>
    </row>
    <row r="157" spans="1:11" ht="27" hidden="1" customHeight="1">
      <c r="A157" s="357">
        <v>50</v>
      </c>
      <c r="B157" s="839" t="s">
        <v>257</v>
      </c>
      <c r="C157" s="839"/>
      <c r="D157" s="839"/>
      <c r="E157" s="839"/>
      <c r="F157" s="840"/>
      <c r="G157" s="552"/>
      <c r="K157" s="440"/>
    </row>
    <row r="158" spans="1:11" ht="4.5" hidden="1" customHeight="1">
      <c r="A158" s="357"/>
      <c r="B158" s="437"/>
      <c r="C158" s="437"/>
      <c r="D158" s="437"/>
      <c r="E158" s="437"/>
      <c r="F158" s="437"/>
      <c r="G158" s="437"/>
      <c r="K158" s="440"/>
    </row>
    <row r="159" spans="1:11" ht="15.75" hidden="1">
      <c r="A159" s="357"/>
      <c r="B159" s="476"/>
      <c r="C159" s="549"/>
      <c r="D159" s="550"/>
      <c r="E159" s="550"/>
      <c r="F159" s="551"/>
      <c r="G159" s="659"/>
    </row>
    <row r="160" spans="1:11" ht="27" hidden="1" customHeight="1">
      <c r="A160" s="357">
        <v>51</v>
      </c>
      <c r="B160" s="839" t="s">
        <v>257</v>
      </c>
      <c r="C160" s="839"/>
      <c r="D160" s="839"/>
      <c r="E160" s="839"/>
      <c r="F160" s="840"/>
      <c r="G160" s="552"/>
      <c r="K160" s="440"/>
    </row>
    <row r="161" spans="1:11" ht="4.5" hidden="1" customHeight="1">
      <c r="A161" s="357"/>
      <c r="B161" s="437"/>
      <c r="C161" s="437"/>
      <c r="D161" s="437"/>
      <c r="E161" s="437"/>
      <c r="F161" s="437"/>
      <c r="G161" s="437"/>
      <c r="K161" s="440"/>
    </row>
    <row r="162" spans="1:11" ht="15.75" hidden="1">
      <c r="A162" s="357"/>
      <c r="B162" s="476"/>
      <c r="C162" s="549"/>
      <c r="D162" s="550"/>
      <c r="E162" s="550"/>
      <c r="F162" s="551"/>
      <c r="G162" s="659"/>
    </row>
    <row r="163" spans="1:11" ht="27" hidden="1" customHeight="1">
      <c r="A163" s="357">
        <v>52</v>
      </c>
      <c r="B163" s="839" t="s">
        <v>257</v>
      </c>
      <c r="C163" s="839"/>
      <c r="D163" s="839"/>
      <c r="E163" s="839"/>
      <c r="F163" s="840"/>
      <c r="G163" s="552"/>
      <c r="K163" s="440"/>
    </row>
    <row r="164" spans="1:11" ht="4.5" hidden="1" customHeight="1">
      <c r="A164" s="357"/>
      <c r="B164" s="437"/>
      <c r="C164" s="437"/>
      <c r="D164" s="437"/>
      <c r="E164" s="437"/>
      <c r="F164" s="437"/>
      <c r="G164" s="437"/>
      <c r="K164" s="440"/>
    </row>
    <row r="165" spans="1:11" ht="15.75" hidden="1">
      <c r="A165" s="357"/>
      <c r="B165" s="476"/>
      <c r="C165" s="549"/>
      <c r="D165" s="550"/>
      <c r="E165" s="550"/>
      <c r="F165" s="551"/>
      <c r="G165" s="659"/>
    </row>
    <row r="166" spans="1:11" ht="27" hidden="1" customHeight="1">
      <c r="A166" s="357">
        <v>53</v>
      </c>
      <c r="B166" s="839" t="s">
        <v>257</v>
      </c>
      <c r="C166" s="839"/>
      <c r="D166" s="839"/>
      <c r="E166" s="839"/>
      <c r="F166" s="840"/>
      <c r="G166" s="552"/>
      <c r="K166" s="440"/>
    </row>
    <row r="167" spans="1:11" ht="4.5" hidden="1" customHeight="1">
      <c r="A167" s="357"/>
      <c r="B167" s="437"/>
      <c r="C167" s="437"/>
      <c r="D167" s="437"/>
      <c r="E167" s="437"/>
      <c r="F167" s="437"/>
      <c r="G167" s="437"/>
      <c r="K167" s="440"/>
    </row>
    <row r="168" spans="1:11" ht="15.75" hidden="1">
      <c r="A168" s="357"/>
      <c r="B168" s="476"/>
      <c r="C168" s="549"/>
      <c r="D168" s="550"/>
      <c r="E168" s="550"/>
      <c r="F168" s="551"/>
      <c r="G168" s="659"/>
    </row>
    <row r="169" spans="1:11" ht="27" hidden="1" customHeight="1">
      <c r="A169" s="357">
        <v>54</v>
      </c>
      <c r="B169" s="839" t="s">
        <v>257</v>
      </c>
      <c r="C169" s="839"/>
      <c r="D169" s="839"/>
      <c r="E169" s="839"/>
      <c r="F169" s="840"/>
      <c r="G169" s="552"/>
      <c r="K169" s="440"/>
    </row>
    <row r="170" spans="1:11" ht="4.1500000000000004" hidden="1" customHeight="1">
      <c r="A170" s="357"/>
      <c r="B170" s="437"/>
      <c r="C170" s="437"/>
      <c r="D170" s="437"/>
      <c r="E170" s="437"/>
      <c r="F170" s="437"/>
      <c r="G170" s="437"/>
      <c r="K170" s="440"/>
    </row>
    <row r="171" spans="1:11" ht="15.75" hidden="1">
      <c r="A171" s="357"/>
      <c r="B171" s="476"/>
      <c r="C171" s="549"/>
      <c r="D171" s="550"/>
      <c r="E171" s="550"/>
      <c r="F171" s="551"/>
      <c r="G171" s="659" t="s">
        <v>258</v>
      </c>
    </row>
    <row r="172" spans="1:11" ht="27" hidden="1" customHeight="1">
      <c r="A172" s="357">
        <v>55</v>
      </c>
      <c r="B172" s="839" t="s">
        <v>517</v>
      </c>
      <c r="C172" s="839"/>
      <c r="D172" s="839"/>
      <c r="E172" s="839"/>
      <c r="F172" s="840"/>
      <c r="G172" s="660"/>
      <c r="K172" s="440"/>
    </row>
    <row r="173" spans="1:11" ht="4.5" hidden="1" customHeight="1">
      <c r="A173" s="357"/>
      <c r="B173" s="437"/>
      <c r="C173" s="437"/>
      <c r="D173" s="437"/>
      <c r="E173" s="437"/>
      <c r="F173" s="437"/>
      <c r="G173" s="437"/>
      <c r="K173" s="440"/>
    </row>
    <row r="174" spans="1:11" ht="15.75" hidden="1">
      <c r="A174" s="357"/>
      <c r="B174" s="476"/>
      <c r="C174" s="549"/>
      <c r="D174" s="550"/>
      <c r="E174" s="550"/>
      <c r="F174" s="551"/>
      <c r="G174" s="659" t="s">
        <v>515</v>
      </c>
    </row>
    <row r="175" spans="1:11" ht="27" hidden="1" customHeight="1">
      <c r="A175" s="357">
        <v>56</v>
      </c>
      <c r="B175" s="839" t="s">
        <v>516</v>
      </c>
      <c r="C175" s="839"/>
      <c r="D175" s="839"/>
      <c r="E175" s="839"/>
      <c r="F175" s="840"/>
      <c r="G175" s="660"/>
      <c r="K175" s="440"/>
    </row>
    <row r="176" spans="1:11" ht="4.5" hidden="1" customHeight="1">
      <c r="A176" s="357"/>
      <c r="B176" s="437"/>
      <c r="C176" s="437"/>
      <c r="D176" s="437"/>
      <c r="E176" s="437"/>
      <c r="F176" s="437"/>
      <c r="G176" s="437"/>
      <c r="K176" s="440"/>
    </row>
    <row r="177" spans="1:11" ht="15.75" hidden="1">
      <c r="A177" s="357"/>
      <c r="B177" s="476"/>
      <c r="C177" s="549"/>
      <c r="D177" s="550"/>
      <c r="E177" s="550"/>
      <c r="F177" s="551"/>
      <c r="G177" s="659"/>
    </row>
    <row r="178" spans="1:11" ht="27" hidden="1" customHeight="1">
      <c r="A178" s="357">
        <v>57</v>
      </c>
      <c r="B178" s="839" t="s">
        <v>257</v>
      </c>
      <c r="C178" s="839"/>
      <c r="D178" s="839"/>
      <c r="E178" s="839"/>
      <c r="F178" s="840"/>
      <c r="G178" s="552"/>
      <c r="K178" s="440"/>
    </row>
    <row r="179" spans="1:11" ht="4.5" hidden="1" customHeight="1">
      <c r="A179" s="357"/>
      <c r="B179" s="437"/>
      <c r="C179" s="437"/>
      <c r="D179" s="437"/>
      <c r="E179" s="437"/>
      <c r="F179" s="437"/>
      <c r="G179" s="437"/>
      <c r="K179" s="440"/>
    </row>
    <row r="180" spans="1:11" ht="15.75" hidden="1">
      <c r="A180" s="357"/>
      <c r="B180" s="476"/>
      <c r="C180" s="549"/>
      <c r="D180" s="550"/>
      <c r="E180" s="550"/>
      <c r="F180" s="551"/>
      <c r="G180" s="659"/>
    </row>
    <row r="181" spans="1:11" ht="27" hidden="1" customHeight="1">
      <c r="A181" s="357">
        <v>58</v>
      </c>
      <c r="B181" s="839" t="s">
        <v>257</v>
      </c>
      <c r="C181" s="839"/>
      <c r="D181" s="839"/>
      <c r="E181" s="839"/>
      <c r="F181" s="840"/>
      <c r="G181" s="552"/>
      <c r="K181" s="440"/>
    </row>
    <row r="182" spans="1:11" ht="4.5" hidden="1" customHeight="1">
      <c r="A182" s="357"/>
      <c r="B182" s="437"/>
      <c r="C182" s="437"/>
      <c r="D182" s="437"/>
      <c r="E182" s="437"/>
      <c r="F182" s="437"/>
      <c r="G182" s="437"/>
      <c r="K182" s="440"/>
    </row>
    <row r="183" spans="1:11" ht="15.75" hidden="1">
      <c r="A183" s="357"/>
      <c r="B183" s="476"/>
      <c r="C183" s="549"/>
      <c r="D183" s="550"/>
      <c r="E183" s="550"/>
      <c r="F183" s="551"/>
      <c r="G183" s="659"/>
    </row>
    <row r="184" spans="1:11" ht="27" hidden="1" customHeight="1">
      <c r="A184" s="357">
        <v>59</v>
      </c>
      <c r="B184" s="839" t="s">
        <v>257</v>
      </c>
      <c r="C184" s="839"/>
      <c r="D184" s="839"/>
      <c r="E184" s="839"/>
      <c r="F184" s="840"/>
      <c r="G184" s="552"/>
      <c r="K184" s="440"/>
    </row>
    <row r="185" spans="1:11" ht="3.6" hidden="1" customHeight="1">
      <c r="A185" s="357"/>
      <c r="B185" s="476"/>
      <c r="C185" s="549"/>
      <c r="D185" s="550"/>
      <c r="E185" s="550"/>
      <c r="F185" s="551"/>
      <c r="G185" s="440"/>
    </row>
    <row r="186" spans="1:11" ht="15.75" hidden="1">
      <c r="A186" s="357"/>
      <c r="B186" s="476"/>
      <c r="C186" s="549"/>
      <c r="D186" s="550"/>
      <c r="E186" s="550"/>
      <c r="F186" s="551"/>
      <c r="G186" s="659"/>
    </row>
    <row r="187" spans="1:11" ht="27" hidden="1" customHeight="1">
      <c r="A187" s="357">
        <v>60</v>
      </c>
      <c r="B187" s="839" t="s">
        <v>257</v>
      </c>
      <c r="C187" s="839"/>
      <c r="D187" s="839"/>
      <c r="E187" s="839"/>
      <c r="F187" s="840"/>
      <c r="G187" s="552"/>
      <c r="K187" s="440"/>
    </row>
    <row r="188" spans="1:11" ht="3.6" hidden="1" customHeight="1">
      <c r="A188" s="357"/>
      <c r="B188" s="476"/>
      <c r="C188" s="549"/>
      <c r="D188" s="550"/>
      <c r="E188" s="550"/>
      <c r="F188" s="551"/>
      <c r="G188" s="440"/>
    </row>
    <row r="189" spans="1:11" ht="15.75" hidden="1">
      <c r="A189" s="357"/>
      <c r="B189" s="476"/>
      <c r="C189" s="549"/>
      <c r="D189" s="550"/>
      <c r="E189" s="550"/>
      <c r="F189" s="551"/>
      <c r="G189" s="659"/>
    </row>
    <row r="190" spans="1:11" ht="27" hidden="1" customHeight="1">
      <c r="A190" s="357">
        <v>61</v>
      </c>
      <c r="B190" s="839" t="s">
        <v>257</v>
      </c>
      <c r="C190" s="839"/>
      <c r="D190" s="839"/>
      <c r="E190" s="839"/>
      <c r="F190" s="840"/>
      <c r="G190" s="552"/>
      <c r="K190" s="440"/>
    </row>
    <row r="191" spans="1:11" ht="4.5" customHeight="1">
      <c r="A191" s="357"/>
      <c r="B191" s="437"/>
      <c r="C191" s="437"/>
      <c r="D191" s="437"/>
      <c r="E191" s="437"/>
      <c r="F191" s="437"/>
      <c r="G191" s="437"/>
      <c r="K191" s="440"/>
    </row>
    <row r="192" spans="1:11" ht="15.75">
      <c r="A192" s="357"/>
      <c r="B192" s="476"/>
      <c r="C192" s="549"/>
      <c r="D192" s="550"/>
      <c r="E192" s="550"/>
      <c r="F192" s="551"/>
      <c r="G192" s="659" t="s">
        <v>258</v>
      </c>
      <c r="K192" s="329"/>
    </row>
    <row r="193" spans="1:11" ht="27" customHeight="1">
      <c r="A193" s="357">
        <v>62</v>
      </c>
      <c r="B193" s="839" t="s">
        <v>544</v>
      </c>
      <c r="C193" s="839"/>
      <c r="D193" s="839"/>
      <c r="E193" s="839"/>
      <c r="F193" s="840"/>
      <c r="G193" s="660"/>
      <c r="K193" s="821"/>
    </row>
    <row r="194" spans="1:11" ht="4.5" customHeight="1">
      <c r="A194" s="357"/>
      <c r="B194" s="437"/>
      <c r="C194" s="437"/>
      <c r="D194" s="437"/>
      <c r="E194" s="437"/>
      <c r="F194" s="437"/>
      <c r="G194" s="437"/>
      <c r="K194" s="821"/>
    </row>
    <row r="195" spans="1:11" ht="15.75">
      <c r="A195" s="357"/>
      <c r="B195" s="476"/>
      <c r="C195" s="549"/>
      <c r="D195" s="550"/>
      <c r="E195" s="550"/>
      <c r="F195" s="551"/>
      <c r="G195" s="659" t="s">
        <v>258</v>
      </c>
      <c r="K195" s="329"/>
    </row>
    <row r="196" spans="1:11" ht="27" customHeight="1">
      <c r="A196" s="357">
        <v>63</v>
      </c>
      <c r="B196" s="839" t="s">
        <v>545</v>
      </c>
      <c r="C196" s="839"/>
      <c r="D196" s="839"/>
      <c r="E196" s="839"/>
      <c r="F196" s="840"/>
      <c r="G196" s="660"/>
      <c r="K196" s="821"/>
    </row>
    <row r="197" spans="1:11" ht="4.5" customHeight="1">
      <c r="A197" s="357"/>
      <c r="B197" s="437"/>
      <c r="C197" s="437"/>
      <c r="D197" s="437"/>
      <c r="E197" s="437"/>
      <c r="F197" s="437"/>
      <c r="G197" s="437"/>
      <c r="K197" s="821"/>
    </row>
    <row r="198" spans="1:11" ht="15.75">
      <c r="A198" s="357"/>
      <c r="B198" s="476"/>
      <c r="C198" s="549"/>
      <c r="D198" s="550"/>
      <c r="E198" s="550"/>
      <c r="F198" s="551"/>
      <c r="G198" s="659" t="s">
        <v>258</v>
      </c>
      <c r="K198" s="329"/>
    </row>
    <row r="199" spans="1:11" ht="27" customHeight="1">
      <c r="A199" s="357">
        <v>64</v>
      </c>
      <c r="B199" s="839" t="s">
        <v>547</v>
      </c>
      <c r="C199" s="839"/>
      <c r="D199" s="839"/>
      <c r="E199" s="839"/>
      <c r="F199" s="840"/>
      <c r="G199" s="660"/>
      <c r="K199" s="821"/>
    </row>
    <row r="200" spans="1:11" ht="4.1500000000000004" hidden="1" customHeight="1">
      <c r="A200" s="357"/>
      <c r="B200" s="437"/>
      <c r="C200" s="437"/>
      <c r="D200" s="437"/>
      <c r="E200" s="437"/>
      <c r="F200" s="437"/>
      <c r="G200" s="437"/>
      <c r="K200" s="440"/>
    </row>
    <row r="201" spans="1:11" ht="15.75" hidden="1">
      <c r="A201" s="357"/>
      <c r="B201" s="476"/>
      <c r="C201" s="549"/>
      <c r="D201" s="550"/>
      <c r="E201" s="550"/>
      <c r="F201" s="551"/>
      <c r="G201" s="659"/>
    </row>
    <row r="202" spans="1:11" ht="27" hidden="1" customHeight="1">
      <c r="A202" s="357">
        <v>65</v>
      </c>
      <c r="B202" s="839" t="s">
        <v>257</v>
      </c>
      <c r="C202" s="839"/>
      <c r="D202" s="839"/>
      <c r="E202" s="839"/>
      <c r="F202" s="840"/>
      <c r="G202" s="552"/>
      <c r="K202" s="440"/>
    </row>
    <row r="203" spans="1:11" ht="4.5" hidden="1" customHeight="1">
      <c r="A203" s="357"/>
      <c r="B203" s="437"/>
      <c r="C203" s="437"/>
      <c r="D203" s="437"/>
      <c r="E203" s="437"/>
      <c r="F203" s="437"/>
      <c r="G203" s="437"/>
      <c r="K203" s="440"/>
    </row>
    <row r="204" spans="1:11" ht="15.75" hidden="1">
      <c r="A204" s="357"/>
      <c r="B204" s="476"/>
      <c r="C204" s="549"/>
      <c r="D204" s="550"/>
      <c r="E204" s="550"/>
      <c r="F204" s="551"/>
      <c r="G204" s="659"/>
    </row>
    <row r="205" spans="1:11" ht="27" hidden="1" customHeight="1">
      <c r="A205" s="357">
        <v>66</v>
      </c>
      <c r="B205" s="839" t="s">
        <v>257</v>
      </c>
      <c r="C205" s="839"/>
      <c r="D205" s="839"/>
      <c r="E205" s="839"/>
      <c r="F205" s="840"/>
      <c r="G205" s="552"/>
      <c r="K205" s="440"/>
    </row>
    <row r="206" spans="1:11" ht="4.5" hidden="1" customHeight="1">
      <c r="A206" s="357"/>
      <c r="B206" s="437"/>
      <c r="C206" s="437"/>
      <c r="D206" s="437"/>
      <c r="E206" s="437"/>
      <c r="F206" s="437"/>
      <c r="G206" s="437"/>
      <c r="K206" s="440"/>
    </row>
    <row r="207" spans="1:11" ht="15.75" hidden="1">
      <c r="A207" s="357"/>
      <c r="B207" s="476"/>
      <c r="C207" s="549"/>
      <c r="D207" s="550"/>
      <c r="E207" s="550"/>
      <c r="F207" s="551"/>
      <c r="G207" s="659"/>
    </row>
    <row r="208" spans="1:11" ht="27" hidden="1" customHeight="1">
      <c r="A208" s="357">
        <v>67</v>
      </c>
      <c r="B208" s="839" t="s">
        <v>257</v>
      </c>
      <c r="C208" s="839"/>
      <c r="D208" s="839"/>
      <c r="E208" s="839"/>
      <c r="F208" s="840"/>
      <c r="G208" s="552"/>
      <c r="K208" s="440"/>
    </row>
    <row r="209" spans="1:11" ht="16.899999999999999" customHeight="1">
      <c r="A209" s="357"/>
      <c r="B209" s="437"/>
      <c r="C209" s="437"/>
      <c r="D209" s="437"/>
      <c r="E209" s="437"/>
      <c r="F209" s="437"/>
      <c r="G209" s="705"/>
      <c r="K209" s="440"/>
    </row>
    <row r="210" spans="1:11" ht="33" customHeight="1">
      <c r="A210" s="357"/>
      <c r="B210" s="861" t="s">
        <v>459</v>
      </c>
      <c r="C210" s="862"/>
      <c r="D210" s="862"/>
      <c r="E210" s="862"/>
      <c r="F210" s="862"/>
      <c r="G210" s="863"/>
    </row>
    <row r="211" spans="1:11" ht="41.25" customHeight="1">
      <c r="A211" s="357"/>
      <c r="B211" s="864"/>
      <c r="C211" s="865"/>
      <c r="D211" s="865"/>
      <c r="E211" s="865"/>
      <c r="F211" s="865"/>
      <c r="G211" s="866"/>
      <c r="K211" s="440" t="str">
        <f>IF(LEN(B211)&gt;1500,"IL NUMERO MASSIMO DI CARATTERI CONSENTITO E' 1500","")</f>
        <v/>
      </c>
    </row>
    <row r="212" spans="1:11" ht="12.75" customHeight="1">
      <c r="A212" s="357"/>
      <c r="B212" s="867"/>
      <c r="C212" s="868"/>
      <c r="D212" s="868"/>
      <c r="E212" s="868"/>
      <c r="F212" s="868"/>
      <c r="G212" s="869"/>
      <c r="K212" s="440"/>
    </row>
    <row r="213" spans="1:11" ht="12.75" customHeight="1">
      <c r="A213" s="357"/>
      <c r="B213" s="867"/>
      <c r="C213" s="868"/>
      <c r="D213" s="868"/>
      <c r="E213" s="868"/>
      <c r="F213" s="868"/>
      <c r="G213" s="869"/>
    </row>
    <row r="214" spans="1:11" ht="12.75" customHeight="1">
      <c r="A214" s="357"/>
      <c r="B214" s="867"/>
      <c r="C214" s="868"/>
      <c r="D214" s="868"/>
      <c r="E214" s="868"/>
      <c r="F214" s="868"/>
      <c r="G214" s="869"/>
    </row>
    <row r="215" spans="1:11" ht="12.75" customHeight="1">
      <c r="A215" s="357"/>
      <c r="B215" s="870"/>
      <c r="C215" s="871"/>
      <c r="D215" s="871"/>
      <c r="E215" s="871"/>
      <c r="F215" s="871"/>
      <c r="G215" s="872"/>
    </row>
    <row r="216" spans="1:11" ht="38.25" customHeight="1">
      <c r="B216" s="860" t="s">
        <v>283</v>
      </c>
      <c r="C216" s="860"/>
      <c r="D216" s="860"/>
      <c r="E216" s="860"/>
      <c r="F216" s="860"/>
      <c r="G216" s="860"/>
    </row>
    <row r="217" spans="1:11" ht="51" customHeight="1">
      <c r="C217" s="484"/>
    </row>
    <row r="218" spans="1:11" ht="38.25" customHeight="1">
      <c r="B218" s="859" t="s">
        <v>345</v>
      </c>
      <c r="C218" s="859"/>
      <c r="D218" s="859"/>
      <c r="E218" s="859"/>
      <c r="F218" s="859"/>
      <c r="G218" s="859"/>
    </row>
    <row r="219" spans="1:11" ht="51.75" customHeight="1">
      <c r="C219" s="484"/>
    </row>
    <row r="220" spans="1:11" ht="18" customHeight="1">
      <c r="C220" s="484"/>
    </row>
    <row r="221" spans="1:11" ht="53.65" customHeight="1">
      <c r="B221" s="857" t="s">
        <v>390</v>
      </c>
      <c r="C221" s="857"/>
      <c r="D221" s="857"/>
      <c r="E221" s="857"/>
      <c r="F221" s="857"/>
      <c r="G221" s="857"/>
    </row>
    <row r="222" spans="1:11" s="706" customFormat="1">
      <c r="B222" s="707" t="s">
        <v>12</v>
      </c>
      <c r="C222" s="707">
        <f>IF(('t1'!$K$8+'t1'!$L$8)&gt;0,1,0)</f>
        <v>0</v>
      </c>
      <c r="D222" s="708"/>
      <c r="E222" s="707" t="s">
        <v>13</v>
      </c>
      <c r="F222" s="707">
        <f>IF(COUNTIF('Squadratura 1'!J6:J7,"ERRORE")=0, 0,1)</f>
        <v>0</v>
      </c>
      <c r="G222" s="708"/>
    </row>
    <row r="223" spans="1:11" s="706" customFormat="1">
      <c r="B223" s="707" t="s">
        <v>14</v>
      </c>
      <c r="C223" s="707">
        <f>IF(SUM('t2'!C7:J7)&gt;0,1,0)</f>
        <v>0</v>
      </c>
      <c r="D223" s="708"/>
      <c r="E223" s="707" t="s">
        <v>15</v>
      </c>
      <c r="F223" s="707">
        <f>IF(OR('Squadratura 2'!G9="ERRORE",'Squadratura 2'!L9="ERRORE"),1,0)</f>
        <v>0</v>
      </c>
      <c r="G223" s="708"/>
    </row>
    <row r="224" spans="1:11" s="706" customFormat="1">
      <c r="B224" s="707" t="s">
        <v>505</v>
      </c>
      <c r="C224" s="707">
        <f>IF(t2A!$T$13&gt;0,1,0)</f>
        <v>0</v>
      </c>
      <c r="D224" s="708"/>
      <c r="E224" s="707" t="s">
        <v>17</v>
      </c>
      <c r="F224" s="707">
        <f>IF(OR('Squadratura 3'!M10="ERRORE",'Squadratura 3'!N10="ERRORE",'Squadratura 3'!Y10="ERRORE",'Squadratura 3'!Z10="ERRORE"),1,0)</f>
        <v>0</v>
      </c>
      <c r="G224" s="708"/>
    </row>
    <row r="225" spans="1:13" s="706" customFormat="1">
      <c r="B225" s="707" t="s">
        <v>16</v>
      </c>
      <c r="C225" s="707">
        <f>IF(SUM('t3'!C8:P8)&gt;0,1,0)</f>
        <v>0</v>
      </c>
      <c r="D225" s="708"/>
      <c r="E225" s="707" t="s">
        <v>19</v>
      </c>
      <c r="F225" s="707">
        <f>IF(COUNTIF('Squadratura 4'!I6:I7,"ERRORE")=0,0,1)</f>
        <v>0</v>
      </c>
      <c r="G225" s="708"/>
    </row>
    <row r="226" spans="1:13" s="706" customFormat="1">
      <c r="B226" s="707" t="s">
        <v>18</v>
      </c>
      <c r="C226" s="707">
        <f>IF(('t4'!$E$17)&gt;0,1,0)</f>
        <v>0</v>
      </c>
      <c r="D226" s="708"/>
      <c r="E226" s="707" t="s">
        <v>23</v>
      </c>
      <c r="F226" s="707">
        <f>IF(COUNTIF('Incongruenze 1 e 11'!D5:D7,"OK")=3,0,1)</f>
        <v>0</v>
      </c>
      <c r="G226" s="708"/>
      <c r="K226" s="709"/>
    </row>
    <row r="227" spans="1:13" s="706" customFormat="1">
      <c r="B227" s="707" t="s">
        <v>20</v>
      </c>
      <c r="C227" s="707">
        <f>IF(('t5'!$U$9+'t5'!$V$9)&gt;0,1,0)</f>
        <v>0</v>
      </c>
      <c r="D227" s="708"/>
      <c r="E227" s="707" t="s">
        <v>25</v>
      </c>
      <c r="F227" s="707">
        <f>IF(COUNTIF('Incongruenza 2'!I6:I7,"ERRORE")=0,0,1)</f>
        <v>0</v>
      </c>
      <c r="G227" s="707"/>
      <c r="K227" s="709"/>
    </row>
    <row r="228" spans="1:13" s="706" customFormat="1">
      <c r="B228" s="707" t="s">
        <v>21</v>
      </c>
      <c r="C228" s="707">
        <f>IF(('t6'!$U$9+'t6'!$V$9)&gt;0,1,0)</f>
        <v>0</v>
      </c>
      <c r="D228" s="708"/>
      <c r="E228" s="707" t="s">
        <v>27</v>
      </c>
      <c r="F228" s="707">
        <f>IF(OR(AND('Incongruenza 4 e controlli t14'!F21=" ",'Incongruenza 4 e controlli t14'!F23=" "),AND('Incongruenza 4 e controlli t14'!F21="OK",'Incongruenza 4 e controlli t14'!F23="OK"),AND('Incongruenza 4 e controlli t14'!F23="E' stata dichiarata IRAP Commerciale")),0,1)</f>
        <v>0</v>
      </c>
      <c r="G228" s="708"/>
      <c r="K228" s="709"/>
    </row>
    <row r="229" spans="1:13" s="706" customFormat="1">
      <c r="B229" s="707" t="s">
        <v>22</v>
      </c>
      <c r="C229" s="707">
        <f>IF(('t7'!$W$8+'t7'!$X$8)&gt;0,1,0)</f>
        <v>0</v>
      </c>
      <c r="D229" s="708"/>
      <c r="E229" s="707" t="s">
        <v>29</v>
      </c>
      <c r="F229" s="707">
        <f>IF(COUNTIF('Incongruenza 5'!G6:G7,"ERRORE")=0,0,1)</f>
        <v>0</v>
      </c>
      <c r="G229" s="708"/>
      <c r="K229" s="709"/>
    </row>
    <row r="230" spans="1:13" s="706" customFormat="1">
      <c r="B230" s="707" t="s">
        <v>24</v>
      </c>
      <c r="C230" s="707">
        <f>IF(('t8'!$AA$8+'t8'!$AB$8)&gt;0,1,0)</f>
        <v>0</v>
      </c>
      <c r="D230" s="708"/>
      <c r="E230" s="707" t="s">
        <v>31</v>
      </c>
      <c r="F230" s="707">
        <f>IF(COUNTIF('Incongruenza 6'!E6:E7,"ERRORE")=0,0,1)</f>
        <v>0</v>
      </c>
      <c r="G230" s="708"/>
      <c r="K230" s="709"/>
    </row>
    <row r="231" spans="1:13" s="706" customFormat="1">
      <c r="B231" s="707" t="s">
        <v>26</v>
      </c>
      <c r="C231" s="707">
        <f>IF(('t9'!$O$8+'t9'!$P$8)&gt;0,1,0)</f>
        <v>0</v>
      </c>
      <c r="D231" s="708"/>
      <c r="E231" s="707" t="s">
        <v>33</v>
      </c>
      <c r="F231" s="707">
        <f>IF(COUNTIF('Incongruenza 7'!I6:I7,"ERRORE")=0,0,1)</f>
        <v>0</v>
      </c>
      <c r="G231" s="708"/>
      <c r="K231" s="709"/>
    </row>
    <row r="232" spans="1:13" s="706" customFormat="1">
      <c r="B232" s="707" t="s">
        <v>28</v>
      </c>
      <c r="C232" s="707">
        <f>IF(('t10'!$AU$8+'t10'!$AV$8)&gt;0,1,0)</f>
        <v>0</v>
      </c>
      <c r="D232" s="708"/>
      <c r="E232" s="707" t="s">
        <v>364</v>
      </c>
      <c r="F232" s="707">
        <f>IF(COUNTIF('Incongruenza 8'!J6:J7,"ERRORE")=0,0,1)</f>
        <v>0</v>
      </c>
      <c r="G232" s="708"/>
      <c r="K232" s="709"/>
    </row>
    <row r="233" spans="1:13" s="706" customFormat="1">
      <c r="B233" s="707" t="s">
        <v>30</v>
      </c>
      <c r="C233" s="707">
        <f>IF(('t11'!$W$10+'t11'!$X$10)&gt;0,1,0)</f>
        <v>0</v>
      </c>
      <c r="D233" s="708"/>
      <c r="E233" s="707" t="s">
        <v>543</v>
      </c>
      <c r="F233" s="708">
        <f>IF('t11'!AG2='t11'!AH2,0,IF(AND('t11'!AG2&gt;0,'t11'!AH2&gt;0),0,1))</f>
        <v>0</v>
      </c>
      <c r="G233" s="707" t="s">
        <v>487</v>
      </c>
      <c r="H233" s="707">
        <f>IF(COUNTIF('Incongruenze 1 e 11'!D13:D20,"OK")=6,0,1)</f>
        <v>0</v>
      </c>
      <c r="I233" s="708"/>
      <c r="M233" s="709"/>
    </row>
    <row r="234" spans="1:13" s="706" customFormat="1">
      <c r="B234" s="707" t="s">
        <v>32</v>
      </c>
      <c r="C234" s="707">
        <f>IF(('t12'!$K$8+'t12'!$C$8)&gt;0,1,0)</f>
        <v>0</v>
      </c>
      <c r="D234" s="708"/>
      <c r="E234" s="707" t="s">
        <v>488</v>
      </c>
      <c r="F234" s="707">
        <f>IF(COUNTIF('Incongruenze 12'!D13:D14,"OK")=2,0,1)</f>
        <v>0</v>
      </c>
      <c r="G234" s="708"/>
    </row>
    <row r="235" spans="1:13" s="706" customFormat="1">
      <c r="B235" s="707" t="s">
        <v>34</v>
      </c>
      <c r="C235" s="707">
        <f>IF(('t13'!$I$8)&gt;0,1,0)</f>
        <v>0</v>
      </c>
      <c r="D235" s="708"/>
      <c r="E235" s="707" t="s">
        <v>489</v>
      </c>
      <c r="F235" s="707">
        <f>IF(COUNTIF('Incongruenza 14'!G6:G49,"ERRORE")=0,0,1)</f>
        <v>0</v>
      </c>
      <c r="G235" s="708"/>
    </row>
    <row r="236" spans="1:13" s="706" customFormat="1">
      <c r="B236" s="707" t="s">
        <v>35</v>
      </c>
      <c r="C236" s="707">
        <f>IF(('Incongruenza 4 e controlli t14'!$C$31)&gt;0,1,0)</f>
        <v>0</v>
      </c>
      <c r="D236" s="708"/>
      <c r="E236" s="708" t="s">
        <v>508</v>
      </c>
      <c r="F236" s="708">
        <f>IF(('t12'!$AK$5)&gt;0,1,0)</f>
        <v>0</v>
      </c>
      <c r="G236" s="708"/>
    </row>
    <row r="237" spans="1:13" s="706" customFormat="1">
      <c r="B237" s="707" t="s">
        <v>431</v>
      </c>
      <c r="C237" s="707">
        <f>IF(('Tabella Riconciliazione'!$F$32)&gt;0,1,0)</f>
        <v>0</v>
      </c>
      <c r="D237" s="708"/>
      <c r="E237" s="708"/>
      <c r="F237" s="708"/>
      <c r="G237" s="708"/>
    </row>
    <row r="238" spans="1:13" s="706" customFormat="1">
      <c r="B238" s="708"/>
      <c r="C238" s="708"/>
      <c r="D238" s="708"/>
      <c r="E238" s="708"/>
      <c r="F238" s="708"/>
      <c r="G238" s="708"/>
    </row>
    <row r="239" spans="1:13">
      <c r="A239" s="706"/>
      <c r="B239" s="708"/>
      <c r="C239" s="708"/>
      <c r="D239" s="708"/>
      <c r="E239" s="708"/>
      <c r="F239" s="708"/>
      <c r="G239" s="708"/>
    </row>
    <row r="240" spans="1:13">
      <c r="A240" s="706"/>
      <c r="B240" s="708"/>
      <c r="C240" s="708"/>
      <c r="D240" s="708"/>
      <c r="E240" s="708"/>
      <c r="F240" s="708"/>
      <c r="G240" s="708"/>
    </row>
    <row r="241" spans="1:7">
      <c r="A241" s="706"/>
      <c r="B241" s="708"/>
      <c r="C241" s="708"/>
      <c r="D241" s="708"/>
      <c r="E241" s="708"/>
      <c r="F241" s="708"/>
      <c r="G241" s="708"/>
    </row>
    <row r="242" spans="1:7">
      <c r="A242" s="706"/>
      <c r="B242" s="708"/>
      <c r="C242" s="708"/>
      <c r="D242" s="708"/>
      <c r="E242" s="744"/>
      <c r="F242" s="744"/>
      <c r="G242" s="708"/>
    </row>
    <row r="243" spans="1:7">
      <c r="A243" s="706"/>
      <c r="B243" s="744"/>
      <c r="C243" s="744"/>
      <c r="D243" s="708"/>
      <c r="E243" s="744"/>
      <c r="F243" s="744"/>
      <c r="G243" s="708"/>
    </row>
    <row r="244" spans="1:7">
      <c r="A244" s="743"/>
      <c r="B244" s="744"/>
      <c r="C244" s="744"/>
      <c r="D244" s="744"/>
      <c r="E244" s="744"/>
      <c r="F244" s="744"/>
      <c r="G244" s="744"/>
    </row>
    <row r="245" spans="1:7">
      <c r="A245" s="743"/>
      <c r="B245" s="744"/>
      <c r="C245" s="744"/>
      <c r="D245" s="744"/>
      <c r="E245" s="355"/>
      <c r="F245" s="355"/>
      <c r="G245" s="744"/>
    </row>
    <row r="246" spans="1:7">
      <c r="A246" s="743"/>
      <c r="B246" s="744"/>
      <c r="C246" s="744"/>
      <c r="D246" s="744"/>
      <c r="E246" s="355"/>
      <c r="F246" s="355"/>
      <c r="G246" s="744"/>
    </row>
    <row r="247" spans="1:7" s="443" customFormat="1">
      <c r="A247" s="743"/>
      <c r="B247" s="744"/>
      <c r="C247" s="744"/>
      <c r="D247" s="744"/>
      <c r="E247" s="355"/>
      <c r="F247" s="355"/>
      <c r="G247" s="744"/>
    </row>
    <row r="248" spans="1:7" s="443" customFormat="1">
      <c r="B248" s="355"/>
      <c r="C248" s="355"/>
      <c r="D248" s="744"/>
      <c r="E248" s="355"/>
      <c r="F248" s="355"/>
      <c r="G248" s="355"/>
    </row>
    <row r="249" spans="1:7" s="443" customFormat="1">
      <c r="B249" s="355"/>
      <c r="C249" s="355"/>
      <c r="D249" s="355"/>
      <c r="E249" s="355"/>
      <c r="F249" s="355"/>
      <c r="G249" s="355"/>
    </row>
    <row r="250" spans="1:7" s="443" customFormat="1">
      <c r="B250" s="355"/>
      <c r="C250" s="355"/>
      <c r="D250" s="355"/>
      <c r="E250" s="355"/>
      <c r="F250" s="355"/>
      <c r="G250" s="355"/>
    </row>
    <row r="251" spans="1:7" s="443" customFormat="1">
      <c r="B251" s="355"/>
      <c r="C251" s="355"/>
      <c r="D251" s="355"/>
      <c r="E251" s="355"/>
      <c r="F251" s="355"/>
      <c r="G251" s="355"/>
    </row>
    <row r="252" spans="1:7" s="443" customFormat="1">
      <c r="B252" s="355"/>
      <c r="C252" s="355"/>
      <c r="D252" s="355"/>
      <c r="E252" s="355"/>
      <c r="F252" s="355"/>
      <c r="G252" s="355"/>
    </row>
    <row r="253" spans="1:7" s="443" customFormat="1">
      <c r="B253" s="355"/>
      <c r="C253" s="355"/>
      <c r="D253" s="355"/>
      <c r="E253" s="355"/>
      <c r="F253" s="355"/>
      <c r="G253" s="355"/>
    </row>
    <row r="254" spans="1:7" s="443" customFormat="1">
      <c r="B254" s="355"/>
      <c r="C254" s="355"/>
      <c r="D254" s="355"/>
      <c r="E254" s="355"/>
      <c r="F254" s="355"/>
      <c r="G254" s="355"/>
    </row>
    <row r="255" spans="1:7" s="443" customFormat="1">
      <c r="B255" s="355"/>
      <c r="C255" s="355"/>
      <c r="D255" s="355"/>
      <c r="E255" s="355"/>
      <c r="F255" s="355"/>
      <c r="G255" s="355"/>
    </row>
    <row r="256" spans="1:7" s="443" customFormat="1">
      <c r="B256" s="355"/>
      <c r="C256" s="355"/>
      <c r="D256" s="355"/>
      <c r="E256" s="355"/>
      <c r="F256" s="355"/>
      <c r="G256" s="355"/>
    </row>
    <row r="257" spans="2:7" s="443" customFormat="1">
      <c r="B257" s="355"/>
      <c r="C257" s="355"/>
      <c r="D257" s="355"/>
      <c r="E257" s="355"/>
      <c r="F257" s="355"/>
      <c r="G257" s="355"/>
    </row>
    <row r="258" spans="2:7" s="443" customFormat="1">
      <c r="B258" s="355"/>
      <c r="C258" s="355"/>
      <c r="D258" s="355"/>
      <c r="E258" s="355"/>
      <c r="F258" s="355"/>
      <c r="G258" s="355"/>
    </row>
    <row r="259" spans="2:7" s="443" customFormat="1">
      <c r="B259" s="355"/>
      <c r="C259" s="355"/>
      <c r="D259" s="355"/>
      <c r="E259" s="355"/>
      <c r="F259" s="355"/>
      <c r="G259" s="355"/>
    </row>
    <row r="260" spans="2:7" s="443" customFormat="1">
      <c r="B260" s="355"/>
      <c r="C260" s="355"/>
      <c r="D260" s="355"/>
      <c r="E260" s="355"/>
      <c r="F260" s="355"/>
      <c r="G260" s="355"/>
    </row>
    <row r="261" spans="2:7" s="443" customFormat="1">
      <c r="B261" s="355"/>
      <c r="C261" s="355"/>
      <c r="D261" s="355"/>
      <c r="E261" s="355"/>
      <c r="F261" s="355"/>
      <c r="G261" s="355"/>
    </row>
    <row r="262" spans="2:7" s="443" customFormat="1">
      <c r="B262" s="355"/>
      <c r="C262" s="355"/>
      <c r="D262" s="355"/>
      <c r="E262" s="355"/>
      <c r="F262" s="355"/>
      <c r="G262" s="355"/>
    </row>
    <row r="263" spans="2:7" s="443" customFormat="1">
      <c r="B263" s="355"/>
      <c r="C263" s="355"/>
      <c r="D263" s="355"/>
      <c r="E263" s="355"/>
      <c r="F263" s="355"/>
      <c r="G263" s="355"/>
    </row>
    <row r="264" spans="2:7" s="443" customFormat="1">
      <c r="B264" s="355"/>
      <c r="C264" s="355"/>
      <c r="D264" s="355"/>
      <c r="E264" s="355"/>
      <c r="F264" s="355"/>
      <c r="G264" s="355"/>
    </row>
    <row r="265" spans="2:7" s="443" customFormat="1">
      <c r="B265" s="355"/>
      <c r="C265" s="355"/>
      <c r="D265" s="355"/>
      <c r="E265" s="355"/>
      <c r="F265" s="355"/>
      <c r="G265" s="355"/>
    </row>
    <row r="266" spans="2:7" s="443" customFormat="1">
      <c r="B266" s="355"/>
      <c r="C266" s="355"/>
      <c r="D266" s="355"/>
      <c r="E266" s="355"/>
      <c r="F266" s="355"/>
      <c r="G266" s="355"/>
    </row>
    <row r="267" spans="2:7" s="443" customFormat="1">
      <c r="B267" s="355"/>
      <c r="C267" s="355"/>
      <c r="D267" s="355"/>
      <c r="E267" s="355"/>
      <c r="F267" s="355"/>
      <c r="G267" s="355"/>
    </row>
    <row r="268" spans="2:7" s="443" customFormat="1">
      <c r="B268" s="355"/>
      <c r="C268" s="355"/>
      <c r="D268" s="355"/>
      <c r="E268" s="355"/>
      <c r="F268" s="355"/>
      <c r="G268" s="355"/>
    </row>
    <row r="269" spans="2:7" s="443" customFormat="1">
      <c r="B269" s="355"/>
      <c r="C269" s="355"/>
      <c r="D269" s="355"/>
      <c r="E269" s="355"/>
      <c r="F269" s="355"/>
      <c r="G269" s="355"/>
    </row>
    <row r="270" spans="2:7" s="443" customFormat="1">
      <c r="B270" s="355"/>
      <c r="C270" s="355"/>
      <c r="D270" s="355"/>
      <c r="E270" s="355"/>
      <c r="F270" s="355"/>
      <c r="G270" s="355"/>
    </row>
    <row r="271" spans="2:7" s="443" customFormat="1">
      <c r="B271" s="355"/>
      <c r="C271" s="355"/>
      <c r="D271" s="355"/>
      <c r="E271" s="355"/>
      <c r="F271" s="355"/>
      <c r="G271" s="355"/>
    </row>
    <row r="272" spans="2:7" s="443" customFormat="1">
      <c r="B272" s="355"/>
      <c r="C272" s="355"/>
      <c r="D272" s="355"/>
      <c r="E272" s="355"/>
      <c r="F272" s="355"/>
      <c r="G272" s="355"/>
    </row>
    <row r="273" spans="2:7" s="443" customFormat="1">
      <c r="B273" s="355"/>
      <c r="C273" s="355"/>
      <c r="D273" s="355"/>
      <c r="E273" s="355"/>
      <c r="F273" s="355"/>
      <c r="G273" s="355"/>
    </row>
    <row r="274" spans="2:7" s="443" customFormat="1">
      <c r="B274" s="355"/>
      <c r="C274" s="355"/>
      <c r="D274" s="355"/>
      <c r="E274" s="355"/>
      <c r="F274" s="355"/>
      <c r="G274" s="355"/>
    </row>
    <row r="275" spans="2:7" s="443" customFormat="1">
      <c r="B275" s="355"/>
      <c r="C275" s="355"/>
      <c r="D275" s="355"/>
      <c r="E275" s="355"/>
      <c r="F275" s="355"/>
      <c r="G275" s="355"/>
    </row>
    <row r="276" spans="2:7" s="443" customFormat="1">
      <c r="B276" s="355"/>
      <c r="C276" s="355"/>
      <c r="D276" s="355"/>
      <c r="E276" s="355"/>
      <c r="F276" s="355"/>
      <c r="G276" s="355"/>
    </row>
    <row r="277" spans="2:7" s="443" customFormat="1">
      <c r="B277" s="355"/>
      <c r="C277" s="355"/>
      <c r="D277" s="355"/>
      <c r="E277" s="355"/>
      <c r="F277" s="355"/>
      <c r="G277" s="355"/>
    </row>
    <row r="278" spans="2:7" s="443" customFormat="1">
      <c r="B278" s="355"/>
      <c r="C278" s="355"/>
      <c r="D278" s="355"/>
      <c r="E278" s="355"/>
      <c r="F278" s="355"/>
      <c r="G278" s="355"/>
    </row>
    <row r="279" spans="2:7" s="443" customFormat="1">
      <c r="B279" s="355"/>
      <c r="C279" s="355"/>
      <c r="D279" s="355"/>
      <c r="E279" s="355"/>
      <c r="F279" s="355"/>
      <c r="G279" s="355"/>
    </row>
    <row r="280" spans="2:7" s="443" customFormat="1">
      <c r="B280" s="355"/>
      <c r="C280" s="355"/>
      <c r="D280" s="355"/>
      <c r="E280" s="355"/>
      <c r="F280" s="355"/>
      <c r="G280" s="355"/>
    </row>
    <row r="281" spans="2:7" s="443" customFormat="1">
      <c r="B281" s="355"/>
      <c r="C281" s="355"/>
      <c r="D281" s="355"/>
      <c r="E281" s="355"/>
      <c r="F281" s="355"/>
      <c r="G281" s="355"/>
    </row>
    <row r="282" spans="2:7" s="443" customFormat="1">
      <c r="B282" s="355"/>
      <c r="C282" s="355"/>
      <c r="D282" s="355"/>
      <c r="E282" s="355"/>
      <c r="F282" s="355"/>
      <c r="G282" s="355"/>
    </row>
    <row r="283" spans="2:7" s="443" customFormat="1">
      <c r="B283" s="355"/>
      <c r="C283" s="355"/>
      <c r="D283" s="355"/>
      <c r="E283" s="355"/>
      <c r="F283" s="355"/>
      <c r="G283" s="355"/>
    </row>
    <row r="284" spans="2:7" s="443" customFormat="1">
      <c r="B284" s="355"/>
      <c r="C284" s="355"/>
      <c r="D284" s="355"/>
      <c r="E284" s="355"/>
      <c r="F284" s="355"/>
      <c r="G284" s="355"/>
    </row>
    <row r="285" spans="2:7" s="443" customFormat="1">
      <c r="B285" s="355"/>
      <c r="C285" s="355"/>
      <c r="D285" s="355"/>
      <c r="E285" s="355"/>
      <c r="F285" s="355"/>
      <c r="G285" s="355"/>
    </row>
    <row r="286" spans="2:7" s="443" customFormat="1">
      <c r="B286" s="355"/>
      <c r="C286" s="355"/>
      <c r="D286" s="355"/>
      <c r="E286" s="355"/>
      <c r="F286" s="355"/>
      <c r="G286" s="355"/>
    </row>
    <row r="287" spans="2:7" s="443" customFormat="1">
      <c r="B287" s="355"/>
      <c r="C287" s="355"/>
      <c r="D287" s="355"/>
      <c r="E287" s="355"/>
      <c r="F287" s="355"/>
      <c r="G287" s="355"/>
    </row>
    <row r="288" spans="2:7" s="443" customFormat="1">
      <c r="B288" s="355"/>
      <c r="C288" s="355"/>
      <c r="D288" s="355"/>
      <c r="E288" s="355"/>
      <c r="F288" s="355"/>
      <c r="G288" s="355"/>
    </row>
    <row r="289" spans="2:7" s="443" customFormat="1">
      <c r="B289" s="355"/>
      <c r="C289" s="355"/>
      <c r="D289" s="355"/>
      <c r="E289" s="355"/>
      <c r="F289" s="355"/>
      <c r="G289" s="355"/>
    </row>
    <row r="290" spans="2:7" s="443" customFormat="1">
      <c r="B290" s="355"/>
      <c r="C290" s="355"/>
      <c r="D290" s="355"/>
      <c r="E290" s="355"/>
      <c r="F290" s="355"/>
      <c r="G290" s="355"/>
    </row>
    <row r="291" spans="2:7" s="443" customFormat="1">
      <c r="B291" s="355"/>
      <c r="C291" s="355"/>
      <c r="D291" s="355"/>
      <c r="E291" s="355"/>
      <c r="F291" s="355"/>
      <c r="G291" s="355"/>
    </row>
    <row r="292" spans="2:7" s="443" customFormat="1">
      <c r="B292" s="355"/>
      <c r="C292" s="355"/>
      <c r="D292" s="355"/>
      <c r="E292" s="355"/>
      <c r="F292" s="355"/>
      <c r="G292" s="355"/>
    </row>
    <row r="293" spans="2:7" s="443" customFormat="1">
      <c r="B293" s="355"/>
      <c r="C293" s="355"/>
      <c r="D293" s="355"/>
      <c r="E293" s="355"/>
      <c r="F293" s="355"/>
      <c r="G293" s="355"/>
    </row>
    <row r="294" spans="2:7" s="443" customFormat="1">
      <c r="B294" s="355"/>
      <c r="C294" s="355"/>
      <c r="D294" s="355"/>
      <c r="E294" s="355"/>
      <c r="F294" s="355"/>
      <c r="G294" s="355"/>
    </row>
    <row r="295" spans="2:7" s="443" customFormat="1">
      <c r="B295" s="355"/>
      <c r="C295" s="355"/>
      <c r="D295" s="355"/>
      <c r="E295" s="355"/>
      <c r="F295" s="355"/>
      <c r="G295" s="355"/>
    </row>
    <row r="296" spans="2:7" s="443" customFormat="1">
      <c r="B296" s="355"/>
      <c r="C296" s="355"/>
      <c r="D296" s="355"/>
      <c r="E296" s="355"/>
      <c r="F296" s="355"/>
      <c r="G296" s="355"/>
    </row>
    <row r="297" spans="2:7" s="443" customFormat="1">
      <c r="B297" s="355"/>
      <c r="C297" s="355"/>
      <c r="D297" s="355"/>
      <c r="E297" s="355"/>
      <c r="F297" s="355"/>
      <c r="G297" s="355"/>
    </row>
    <row r="298" spans="2:7" s="443" customFormat="1">
      <c r="B298" s="355"/>
      <c r="C298" s="355"/>
      <c r="D298" s="355"/>
      <c r="E298" s="355"/>
      <c r="F298" s="355"/>
      <c r="G298" s="355"/>
    </row>
    <row r="299" spans="2:7" s="443" customFormat="1">
      <c r="B299" s="355"/>
      <c r="C299" s="355"/>
      <c r="D299" s="355"/>
      <c r="E299" s="355"/>
      <c r="F299" s="355"/>
      <c r="G299" s="355"/>
    </row>
    <row r="300" spans="2:7" s="443" customFormat="1">
      <c r="B300" s="355"/>
      <c r="C300" s="355"/>
      <c r="D300" s="355"/>
      <c r="E300" s="355"/>
      <c r="F300" s="355"/>
      <c r="G300" s="355"/>
    </row>
    <row r="301" spans="2:7" s="443" customFormat="1">
      <c r="B301" s="355"/>
      <c r="C301" s="355"/>
      <c r="D301" s="355"/>
      <c r="E301" s="355"/>
      <c r="F301" s="355"/>
      <c r="G301" s="355"/>
    </row>
    <row r="302" spans="2:7" s="443" customFormat="1">
      <c r="B302" s="355"/>
      <c r="C302" s="355"/>
      <c r="D302" s="355"/>
      <c r="E302" s="355"/>
      <c r="F302" s="355"/>
      <c r="G302" s="355"/>
    </row>
    <row r="303" spans="2:7" s="443" customFormat="1">
      <c r="B303" s="355"/>
      <c r="C303" s="355"/>
      <c r="D303" s="355"/>
      <c r="E303" s="355"/>
      <c r="F303" s="355"/>
      <c r="G303" s="355"/>
    </row>
    <row r="304" spans="2:7" s="443" customFormat="1">
      <c r="B304" s="355"/>
      <c r="C304" s="355"/>
      <c r="D304" s="355"/>
      <c r="E304" s="355"/>
      <c r="F304" s="355"/>
      <c r="G304" s="355"/>
    </row>
    <row r="305" spans="2:7" s="443" customFormat="1">
      <c r="B305" s="355"/>
      <c r="C305" s="355"/>
      <c r="D305" s="355"/>
      <c r="E305" s="355"/>
      <c r="F305" s="355"/>
      <c r="G305" s="355"/>
    </row>
    <row r="306" spans="2:7" s="443" customFormat="1">
      <c r="B306" s="355"/>
      <c r="C306" s="355"/>
      <c r="D306" s="355"/>
      <c r="E306" s="355"/>
      <c r="F306" s="355"/>
      <c r="G306" s="355"/>
    </row>
    <row r="307" spans="2:7" s="443" customFormat="1">
      <c r="B307" s="355"/>
      <c r="C307" s="355"/>
      <c r="D307" s="355"/>
      <c r="E307" s="355"/>
      <c r="F307" s="355"/>
      <c r="G307" s="355"/>
    </row>
    <row r="308" spans="2:7" s="443" customFormat="1">
      <c r="B308" s="355"/>
      <c r="C308" s="355"/>
      <c r="D308" s="355"/>
      <c r="E308" s="355"/>
      <c r="F308" s="355"/>
      <c r="G308" s="355"/>
    </row>
    <row r="309" spans="2:7" s="443" customFormat="1">
      <c r="B309" s="355"/>
      <c r="C309" s="355"/>
      <c r="D309" s="355"/>
      <c r="E309" s="355"/>
      <c r="F309" s="355"/>
      <c r="G309" s="355"/>
    </row>
    <row r="310" spans="2:7" s="443" customFormat="1">
      <c r="B310" s="355"/>
      <c r="C310" s="355"/>
      <c r="D310" s="355"/>
      <c r="E310" s="355"/>
      <c r="F310" s="355"/>
      <c r="G310" s="355"/>
    </row>
    <row r="311" spans="2:7" s="443" customFormat="1">
      <c r="B311" s="355"/>
      <c r="C311" s="355"/>
      <c r="D311" s="355"/>
      <c r="E311" s="355"/>
      <c r="F311" s="355"/>
      <c r="G311" s="355"/>
    </row>
    <row r="312" spans="2:7" s="443" customFormat="1">
      <c r="B312" s="355"/>
      <c r="C312" s="355"/>
      <c r="D312" s="355"/>
      <c r="E312" s="355"/>
      <c r="F312" s="355"/>
      <c r="G312" s="355"/>
    </row>
    <row r="313" spans="2:7" s="443" customFormat="1">
      <c r="B313" s="355"/>
      <c r="C313" s="355"/>
      <c r="D313" s="355"/>
      <c r="E313" s="355"/>
      <c r="F313" s="355"/>
      <c r="G313" s="355"/>
    </row>
    <row r="314" spans="2:7" s="443" customFormat="1">
      <c r="B314" s="355"/>
      <c r="C314" s="355"/>
      <c r="D314" s="355"/>
      <c r="E314" s="355"/>
      <c r="F314" s="355"/>
      <c r="G314" s="355"/>
    </row>
    <row r="315" spans="2:7" s="443" customFormat="1">
      <c r="B315" s="355"/>
      <c r="C315" s="355"/>
      <c r="D315" s="355"/>
      <c r="E315" s="355"/>
      <c r="F315" s="355"/>
      <c r="G315" s="355"/>
    </row>
    <row r="316" spans="2:7" s="443" customFormat="1">
      <c r="B316" s="355"/>
      <c r="C316" s="355"/>
      <c r="D316" s="355"/>
      <c r="E316" s="355"/>
      <c r="F316" s="355"/>
      <c r="G316" s="355"/>
    </row>
    <row r="317" spans="2:7" s="443" customFormat="1">
      <c r="B317" s="355"/>
      <c r="C317" s="355"/>
      <c r="D317" s="355"/>
      <c r="E317" s="355"/>
      <c r="F317" s="355"/>
      <c r="G317" s="355"/>
    </row>
    <row r="318" spans="2:7" s="443" customFormat="1">
      <c r="B318" s="355"/>
      <c r="C318" s="355"/>
      <c r="D318" s="355"/>
      <c r="E318" s="355"/>
      <c r="F318" s="355"/>
      <c r="G318" s="355"/>
    </row>
    <row r="319" spans="2:7" s="443" customFormat="1">
      <c r="B319" s="355"/>
      <c r="C319" s="355"/>
      <c r="D319" s="355"/>
      <c r="E319" s="355"/>
      <c r="F319" s="355"/>
      <c r="G319" s="355"/>
    </row>
    <row r="320" spans="2:7" s="443" customFormat="1">
      <c r="B320" s="355"/>
      <c r="C320" s="355"/>
      <c r="D320" s="355"/>
      <c r="E320" s="355"/>
      <c r="F320" s="355"/>
      <c r="G320" s="355"/>
    </row>
    <row r="321" spans="2:7" s="443" customFormat="1">
      <c r="B321" s="355"/>
      <c r="C321" s="355"/>
      <c r="D321" s="355"/>
      <c r="E321" s="355"/>
      <c r="F321" s="355"/>
      <c r="G321" s="355"/>
    </row>
    <row r="322" spans="2:7" s="443" customFormat="1">
      <c r="B322" s="355"/>
      <c r="C322" s="355"/>
      <c r="D322" s="355"/>
      <c r="E322" s="355"/>
      <c r="F322" s="355"/>
      <c r="G322" s="355"/>
    </row>
    <row r="323" spans="2:7" s="443" customFormat="1">
      <c r="B323" s="355"/>
      <c r="C323" s="355"/>
      <c r="D323" s="355"/>
      <c r="E323" s="355"/>
      <c r="F323" s="355"/>
      <c r="G323" s="355"/>
    </row>
    <row r="324" spans="2:7" s="443" customFormat="1">
      <c r="B324" s="355"/>
      <c r="C324" s="355"/>
      <c r="D324" s="355"/>
      <c r="E324" s="355"/>
      <c r="F324" s="355"/>
      <c r="G324" s="355"/>
    </row>
    <row r="325" spans="2:7" s="443" customFormat="1">
      <c r="B325" s="355"/>
      <c r="C325" s="355"/>
      <c r="D325" s="355"/>
      <c r="E325" s="355"/>
      <c r="F325" s="355"/>
      <c r="G325" s="355"/>
    </row>
    <row r="326" spans="2:7" s="443" customFormat="1">
      <c r="B326" s="355"/>
      <c r="C326" s="355"/>
      <c r="D326" s="355"/>
      <c r="E326" s="355"/>
      <c r="F326" s="355"/>
      <c r="G326" s="355"/>
    </row>
    <row r="327" spans="2:7" s="443" customFormat="1">
      <c r="B327" s="355"/>
      <c r="C327" s="355"/>
      <c r="D327" s="355"/>
      <c r="E327" s="355"/>
      <c r="F327" s="355"/>
      <c r="G327" s="355"/>
    </row>
    <row r="328" spans="2:7" s="443" customFormat="1">
      <c r="B328" s="355"/>
      <c r="C328" s="355"/>
      <c r="D328" s="355"/>
      <c r="E328" s="355"/>
      <c r="F328" s="355"/>
      <c r="G328" s="355"/>
    </row>
    <row r="329" spans="2:7" s="443" customFormat="1">
      <c r="B329" s="355"/>
      <c r="C329" s="355"/>
      <c r="D329" s="355"/>
      <c r="E329" s="355"/>
      <c r="F329" s="355"/>
      <c r="G329" s="355"/>
    </row>
    <row r="330" spans="2:7" s="443" customFormat="1">
      <c r="B330" s="355"/>
      <c r="C330" s="355"/>
      <c r="D330" s="355"/>
      <c r="E330" s="355"/>
      <c r="F330" s="355"/>
      <c r="G330" s="355"/>
    </row>
    <row r="331" spans="2:7" s="443" customFormat="1">
      <c r="B331" s="355"/>
      <c r="C331" s="355"/>
      <c r="D331" s="355"/>
      <c r="E331" s="355"/>
      <c r="F331" s="355"/>
      <c r="G331" s="355"/>
    </row>
    <row r="332" spans="2:7" s="443" customFormat="1">
      <c r="B332" s="355"/>
      <c r="C332" s="355"/>
      <c r="D332" s="355"/>
      <c r="E332" s="355"/>
      <c r="F332" s="355"/>
      <c r="G332" s="355"/>
    </row>
    <row r="333" spans="2:7" s="443" customFormat="1">
      <c r="B333" s="355"/>
      <c r="C333" s="355"/>
      <c r="D333" s="355"/>
      <c r="E333" s="355"/>
      <c r="F333" s="355"/>
      <c r="G333" s="355"/>
    </row>
    <row r="334" spans="2:7" s="443" customFormat="1">
      <c r="B334" s="355"/>
      <c r="C334" s="355"/>
      <c r="D334" s="355"/>
      <c r="E334" s="355"/>
      <c r="F334" s="355"/>
      <c r="G334" s="355"/>
    </row>
    <row r="335" spans="2:7" s="443" customFormat="1">
      <c r="B335" s="355"/>
      <c r="C335" s="355"/>
      <c r="D335" s="355"/>
      <c r="E335" s="355"/>
      <c r="F335" s="355"/>
      <c r="G335" s="355"/>
    </row>
    <row r="336" spans="2:7" s="443" customFormat="1">
      <c r="B336" s="355"/>
      <c r="C336" s="355"/>
      <c r="D336" s="355"/>
      <c r="E336" s="355"/>
      <c r="F336" s="355"/>
      <c r="G336" s="355"/>
    </row>
    <row r="337" spans="2:7" s="443" customFormat="1">
      <c r="B337" s="355"/>
      <c r="C337" s="355"/>
      <c r="D337" s="355"/>
      <c r="E337" s="355"/>
      <c r="F337" s="355"/>
      <c r="G337" s="355"/>
    </row>
    <row r="338" spans="2:7" s="443" customFormat="1">
      <c r="B338" s="355"/>
      <c r="C338" s="355"/>
      <c r="D338" s="355"/>
      <c r="E338" s="355"/>
      <c r="F338" s="355"/>
      <c r="G338" s="355"/>
    </row>
    <row r="339" spans="2:7" s="443" customFormat="1">
      <c r="B339" s="355"/>
      <c r="C339" s="355"/>
      <c r="D339" s="355"/>
      <c r="E339" s="355"/>
      <c r="F339" s="355"/>
      <c r="G339" s="355"/>
    </row>
    <row r="340" spans="2:7" s="443" customFormat="1">
      <c r="B340" s="355"/>
      <c r="C340" s="355"/>
      <c r="D340" s="355"/>
      <c r="E340" s="355"/>
      <c r="F340" s="355"/>
      <c r="G340" s="355"/>
    </row>
    <row r="341" spans="2:7" s="443" customFormat="1">
      <c r="B341" s="355"/>
      <c r="C341" s="355"/>
      <c r="D341" s="355"/>
      <c r="E341" s="355"/>
      <c r="F341" s="355"/>
      <c r="G341" s="355"/>
    </row>
    <row r="342" spans="2:7" s="443" customFormat="1">
      <c r="B342" s="355"/>
      <c r="C342" s="355"/>
      <c r="D342" s="355"/>
      <c r="E342" s="355"/>
      <c r="F342" s="355"/>
      <c r="G342" s="355"/>
    </row>
    <row r="343" spans="2:7" s="443" customFormat="1">
      <c r="B343" s="355"/>
      <c r="C343" s="355"/>
      <c r="D343" s="355"/>
      <c r="E343" s="355"/>
      <c r="F343" s="355"/>
      <c r="G343" s="355"/>
    </row>
    <row r="344" spans="2:7" s="443" customFormat="1">
      <c r="B344" s="355"/>
      <c r="C344" s="355"/>
      <c r="D344" s="355"/>
      <c r="E344" s="355"/>
      <c r="F344" s="355"/>
      <c r="G344" s="355"/>
    </row>
    <row r="345" spans="2:7" s="443" customFormat="1">
      <c r="B345" s="355"/>
      <c r="C345" s="355"/>
      <c r="D345" s="355"/>
      <c r="E345" s="355"/>
      <c r="F345" s="355"/>
      <c r="G345" s="355"/>
    </row>
    <row r="346" spans="2:7" s="443" customFormat="1">
      <c r="B346" s="355"/>
      <c r="C346" s="355"/>
      <c r="D346" s="355"/>
      <c r="E346" s="355"/>
      <c r="F346" s="355"/>
      <c r="G346" s="355"/>
    </row>
    <row r="347" spans="2:7" s="443" customFormat="1">
      <c r="B347" s="355"/>
      <c r="C347" s="355"/>
      <c r="D347" s="355"/>
      <c r="E347" s="355"/>
      <c r="F347" s="355"/>
      <c r="G347" s="355"/>
    </row>
    <row r="348" spans="2:7" s="443" customFormat="1">
      <c r="B348" s="355"/>
      <c r="C348" s="355"/>
      <c r="D348" s="355"/>
      <c r="E348" s="355"/>
      <c r="F348" s="355"/>
      <c r="G348" s="355"/>
    </row>
    <row r="349" spans="2:7" s="443" customFormat="1">
      <c r="B349" s="355"/>
      <c r="C349" s="355"/>
      <c r="D349" s="355"/>
      <c r="E349" s="355"/>
      <c r="F349" s="355"/>
      <c r="G349" s="355"/>
    </row>
    <row r="350" spans="2:7" s="443" customFormat="1">
      <c r="B350" s="355"/>
      <c r="C350" s="355"/>
      <c r="D350" s="355"/>
      <c r="E350" s="355"/>
      <c r="F350" s="355"/>
      <c r="G350" s="355"/>
    </row>
    <row r="351" spans="2:7" s="443" customFormat="1">
      <c r="B351" s="355"/>
      <c r="C351" s="355"/>
      <c r="D351" s="355"/>
      <c r="E351" s="355"/>
      <c r="F351" s="355"/>
      <c r="G351" s="355"/>
    </row>
    <row r="352" spans="2:7" s="443" customFormat="1">
      <c r="B352" s="355"/>
      <c r="C352" s="355"/>
      <c r="D352" s="355"/>
      <c r="E352" s="355"/>
      <c r="F352" s="355"/>
      <c r="G352" s="355"/>
    </row>
    <row r="353" spans="2:7" s="443" customFormat="1">
      <c r="B353" s="355"/>
      <c r="C353" s="355"/>
      <c r="D353" s="355"/>
      <c r="E353" s="355"/>
      <c r="F353" s="355"/>
      <c r="G353" s="355"/>
    </row>
    <row r="354" spans="2:7" s="443" customFormat="1">
      <c r="B354" s="355"/>
      <c r="C354" s="355"/>
      <c r="D354" s="355"/>
      <c r="E354" s="355"/>
      <c r="F354" s="355"/>
      <c r="G354" s="355"/>
    </row>
    <row r="355" spans="2:7" s="443" customFormat="1">
      <c r="B355" s="355"/>
      <c r="C355" s="355"/>
      <c r="D355" s="355"/>
      <c r="E355" s="355"/>
      <c r="F355" s="355"/>
      <c r="G355" s="355"/>
    </row>
    <row r="356" spans="2:7" s="443" customFormat="1">
      <c r="B356" s="355"/>
      <c r="C356" s="355"/>
      <c r="D356" s="355"/>
      <c r="E356" s="355"/>
      <c r="F356" s="355"/>
      <c r="G356" s="355"/>
    </row>
    <row r="357" spans="2:7" s="443" customFormat="1">
      <c r="B357" s="355"/>
      <c r="C357" s="355"/>
      <c r="D357" s="355"/>
      <c r="E357" s="355"/>
      <c r="F357" s="355"/>
      <c r="G357" s="355"/>
    </row>
    <row r="358" spans="2:7" s="443" customFormat="1">
      <c r="B358" s="355"/>
      <c r="C358" s="355"/>
      <c r="D358" s="355"/>
      <c r="E358" s="355"/>
      <c r="F358" s="355"/>
      <c r="G358" s="355"/>
    </row>
    <row r="359" spans="2:7" s="443" customFormat="1">
      <c r="B359" s="355"/>
      <c r="C359" s="355"/>
      <c r="D359" s="355"/>
      <c r="E359" s="355"/>
      <c r="F359" s="355"/>
      <c r="G359" s="355"/>
    </row>
    <row r="360" spans="2:7" s="443" customFormat="1">
      <c r="B360" s="355"/>
      <c r="C360" s="355"/>
      <c r="D360" s="355"/>
      <c r="E360" s="355"/>
      <c r="F360" s="355"/>
      <c r="G360" s="355"/>
    </row>
    <row r="361" spans="2:7" s="443" customFormat="1">
      <c r="B361" s="355"/>
      <c r="C361" s="355"/>
      <c r="D361" s="355"/>
      <c r="E361" s="339"/>
      <c r="F361" s="339"/>
      <c r="G361" s="355"/>
    </row>
    <row r="362" spans="2:7" s="443" customFormat="1">
      <c r="B362" s="355"/>
      <c r="C362" s="355"/>
      <c r="D362" s="355"/>
      <c r="E362" s="339"/>
      <c r="F362" s="339"/>
      <c r="G362" s="355"/>
    </row>
    <row r="363" spans="2:7" s="443" customFormat="1">
      <c r="B363" s="339"/>
      <c r="C363" s="339"/>
      <c r="D363" s="355"/>
      <c r="E363" s="339"/>
      <c r="F363" s="339"/>
      <c r="G363" s="355"/>
    </row>
    <row r="364" spans="2:7" s="443" customFormat="1">
      <c r="B364" s="339"/>
      <c r="C364" s="339"/>
      <c r="D364" s="355"/>
      <c r="E364" s="339"/>
      <c r="F364" s="339"/>
      <c r="G364" s="355"/>
    </row>
    <row r="365" spans="2:7" s="443" customFormat="1">
      <c r="B365" s="339"/>
      <c r="C365" s="339"/>
      <c r="D365" s="355"/>
      <c r="E365" s="339"/>
      <c r="F365" s="339"/>
      <c r="G365" s="355"/>
    </row>
    <row r="366" spans="2:7">
      <c r="D366" s="355"/>
    </row>
  </sheetData>
  <sheetProtection algorithmName="SHA-512" hashValue="2Aw9EjtYp7TxzrEMc18mI+Y2lvZeg3Z6jZbyEOTEx6W9zUnFan08dvFVvo7R+rzyhz4u0oi5P3qUywouxpsWfQ==" saltValue="9I+HIma6HzWILUywvpGg9A==" spinCount="100000" sheet="1" formatColumns="0" selectLockedCells="1"/>
  <mergeCells count="90">
    <mergeCell ref="B208:F208"/>
    <mergeCell ref="B190:F190"/>
    <mergeCell ref="B193:F193"/>
    <mergeCell ref="B196:F196"/>
    <mergeCell ref="B199:F199"/>
    <mergeCell ref="B202:F202"/>
    <mergeCell ref="B205:F205"/>
    <mergeCell ref="B172:F172"/>
    <mergeCell ref="B175:F175"/>
    <mergeCell ref="B178:F178"/>
    <mergeCell ref="B181:F181"/>
    <mergeCell ref="B184:F184"/>
    <mergeCell ref="B187:F187"/>
    <mergeCell ref="B3:G3"/>
    <mergeCell ref="B36:G36"/>
    <mergeCell ref="B39:C39"/>
    <mergeCell ref="B33:C33"/>
    <mergeCell ref="B34:C34"/>
    <mergeCell ref="D23:E23"/>
    <mergeCell ref="F24:G24"/>
    <mergeCell ref="B25:C25"/>
    <mergeCell ref="B24:C24"/>
    <mergeCell ref="D24:E24"/>
    <mergeCell ref="B30:G30"/>
    <mergeCell ref="F19:G19"/>
    <mergeCell ref="B22:C22"/>
    <mergeCell ref="D22:E22"/>
    <mergeCell ref="D19:E19"/>
    <mergeCell ref="B221:G221"/>
    <mergeCell ref="B48:E48"/>
    <mergeCell ref="B41:G41"/>
    <mergeCell ref="B46:E46"/>
    <mergeCell ref="B50:E50"/>
    <mergeCell ref="B218:G218"/>
    <mergeCell ref="B216:G216"/>
    <mergeCell ref="B210:G210"/>
    <mergeCell ref="B211:G215"/>
    <mergeCell ref="B124:F124"/>
    <mergeCell ref="B44:E44"/>
    <mergeCell ref="B56:F56"/>
    <mergeCell ref="B59:F59"/>
    <mergeCell ref="B62:F62"/>
    <mergeCell ref="B82:F82"/>
    <mergeCell ref="B85:F85"/>
    <mergeCell ref="C2:F2"/>
    <mergeCell ref="E8:G8"/>
    <mergeCell ref="E9:G9"/>
    <mergeCell ref="E10:G10"/>
    <mergeCell ref="B6:G6"/>
    <mergeCell ref="E11:G11"/>
    <mergeCell ref="E12:G12"/>
    <mergeCell ref="F23:G23"/>
    <mergeCell ref="D15:G15"/>
    <mergeCell ref="B53:F53"/>
    <mergeCell ref="F22:G22"/>
    <mergeCell ref="B19:C19"/>
    <mergeCell ref="B23:C23"/>
    <mergeCell ref="B16:G16"/>
    <mergeCell ref="D26:E26"/>
    <mergeCell ref="F25:G25"/>
    <mergeCell ref="D25:E25"/>
    <mergeCell ref="B26:C26"/>
    <mergeCell ref="F26:G26"/>
    <mergeCell ref="B88:F88"/>
    <mergeCell ref="B91:F91"/>
    <mergeCell ref="B94:F94"/>
    <mergeCell ref="B97:F97"/>
    <mergeCell ref="B100:F100"/>
    <mergeCell ref="B103:F103"/>
    <mergeCell ref="B106:F106"/>
    <mergeCell ref="B109:F109"/>
    <mergeCell ref="B112:F112"/>
    <mergeCell ref="B115:F115"/>
    <mergeCell ref="B118:F118"/>
    <mergeCell ref="B121:F121"/>
    <mergeCell ref="B145:F145"/>
    <mergeCell ref="B127:F127"/>
    <mergeCell ref="B130:F130"/>
    <mergeCell ref="B133:F133"/>
    <mergeCell ref="B136:F136"/>
    <mergeCell ref="B139:F139"/>
    <mergeCell ref="B142:F142"/>
    <mergeCell ref="B166:F166"/>
    <mergeCell ref="B169:F169"/>
    <mergeCell ref="B148:F148"/>
    <mergeCell ref="B151:F151"/>
    <mergeCell ref="B154:F154"/>
    <mergeCell ref="B157:F157"/>
    <mergeCell ref="B160:F160"/>
    <mergeCell ref="B163:F163"/>
  </mergeCells>
  <phoneticPr fontId="0" type="noConversion"/>
  <dataValidations count="1">
    <dataValidation type="whole" allowBlank="1" showInputMessage="1" showErrorMessage="1" errorTitle="ATTENZIONE" error="INSERIRE SOLO VALORI NUMERICI INTERI" sqref="G88 G118 G115 G112 G136 G139 G97 G154 G59 G109 G127 G53 G106 G100 G91 G94 G82 G121 G124 G133 G130 G142 G103 G56 G62 G145 G85 G151 G148 G157 G160 G163 G166 G169 G172 G178 G181 G184 G187 G190 G205 G175 G208:G209 G202 G193 G196 G199" xr:uid="{00000000-0002-0000-0000-000000000000}">
      <formula1>0</formula1>
      <formula2>999999999999</formula2>
    </dataValidation>
  </dataValidations>
  <printOptions horizontalCentered="1"/>
  <pageMargins left="0.4" right="0.39" top="0.38" bottom="0.23" header="0.15748031496062992" footer="0.15748031496062992"/>
  <pageSetup paperSize="9" scale="66" fitToHeight="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5"/>
  <dimension ref="A1:AB11"/>
  <sheetViews>
    <sheetView showGridLines="0" zoomScale="85" workbookViewId="0">
      <pane xSplit="2" ySplit="5" topLeftCell="C6" activePane="bottomRight" state="frozen"/>
      <selection activeCell="A2" sqref="A2"/>
      <selection pane="topRight" activeCell="A2" sqref="A2"/>
      <selection pane="bottomLeft" activeCell="A2" sqref="A2"/>
      <selection pane="bottomRight" activeCell="C6" sqref="C6"/>
    </sheetView>
  </sheetViews>
  <sheetFormatPr defaultColWidth="10.6640625" defaultRowHeight="11.25"/>
  <cols>
    <col min="1" max="1" width="46.6640625" style="35" customWidth="1"/>
    <col min="2" max="2" width="8.1640625" style="37" bestFit="1" customWidth="1"/>
    <col min="3" max="4" width="7.33203125" style="35" customWidth="1"/>
    <col min="5" max="24" width="8" style="35" customWidth="1"/>
    <col min="25" max="26" width="6.5" style="35" customWidth="1"/>
    <col min="27" max="28" width="8.1640625" style="35" customWidth="1"/>
    <col min="29" max="16384" width="10.6640625" style="35"/>
  </cols>
  <sheetData>
    <row r="1" spans="1:28" s="3" customFormat="1" ht="43.5" customHeight="1">
      <c r="A1" s="912" t="str">
        <f>'t1'!A1</f>
        <v>Amministrazioni incluse nell'elenco ISTAT art. 1 c.3 legge 196/2009 (lista S13) - anno 2023</v>
      </c>
      <c r="B1" s="912"/>
      <c r="C1" s="912"/>
      <c r="D1" s="912"/>
      <c r="E1" s="912"/>
      <c r="F1" s="912"/>
      <c r="G1" s="912"/>
      <c r="H1" s="912"/>
      <c r="I1" s="912"/>
      <c r="J1" s="912"/>
      <c r="K1" s="912"/>
      <c r="L1" s="912"/>
      <c r="M1" s="912"/>
      <c r="N1" s="912"/>
      <c r="O1" s="912"/>
      <c r="P1" s="912"/>
      <c r="Q1" s="912"/>
      <c r="R1" s="912"/>
      <c r="S1" s="912"/>
      <c r="T1" s="912"/>
      <c r="U1" s="912"/>
      <c r="V1" s="912"/>
      <c r="W1" s="912"/>
      <c r="X1" s="912"/>
      <c r="Y1" s="912"/>
      <c r="AB1" s="288"/>
    </row>
    <row r="2" spans="1:28" ht="30" customHeight="1" thickBot="1">
      <c r="A2" s="36"/>
      <c r="S2" s="913"/>
      <c r="T2" s="913"/>
      <c r="U2" s="913"/>
      <c r="V2" s="913"/>
      <c r="W2" s="913"/>
      <c r="X2" s="913"/>
      <c r="Y2" s="913"/>
      <c r="Z2" s="913"/>
      <c r="AA2" s="913"/>
      <c r="AB2" s="913"/>
    </row>
    <row r="3" spans="1:28" ht="16.5" customHeight="1" thickBot="1">
      <c r="A3" s="38"/>
      <c r="B3" s="39"/>
      <c r="C3" s="40" t="s">
        <v>233</v>
      </c>
      <c r="D3" s="41"/>
      <c r="E3" s="41"/>
      <c r="F3" s="41"/>
      <c r="G3" s="41"/>
      <c r="H3" s="41"/>
      <c r="I3" s="41"/>
      <c r="J3" s="41"/>
      <c r="K3" s="41"/>
      <c r="L3" s="41"/>
      <c r="M3" s="41"/>
      <c r="N3" s="41"/>
      <c r="O3" s="41"/>
      <c r="P3" s="41"/>
      <c r="Q3" s="41"/>
      <c r="R3" s="41"/>
      <c r="S3" s="41"/>
      <c r="T3" s="41"/>
      <c r="U3" s="41"/>
      <c r="V3" s="41"/>
      <c r="W3" s="41"/>
      <c r="X3" s="42"/>
      <c r="Y3" s="41"/>
      <c r="Z3" s="42"/>
      <c r="AA3" s="41"/>
      <c r="AB3" s="42"/>
    </row>
    <row r="4" spans="1:28" ht="16.5" customHeight="1" thickTop="1">
      <c r="A4" s="251" t="s">
        <v>128</v>
      </c>
      <c r="B4" s="43" t="s">
        <v>56</v>
      </c>
      <c r="C4" s="945" t="s">
        <v>161</v>
      </c>
      <c r="D4" s="946"/>
      <c r="E4" s="149" t="s">
        <v>162</v>
      </c>
      <c r="F4" s="148"/>
      <c r="G4" s="945" t="s">
        <v>66</v>
      </c>
      <c r="H4" s="946"/>
      <c r="I4" s="945" t="s">
        <v>67</v>
      </c>
      <c r="J4" s="946"/>
      <c r="K4" s="945" t="s">
        <v>68</v>
      </c>
      <c r="L4" s="946"/>
      <c r="M4" s="945" t="s">
        <v>69</v>
      </c>
      <c r="N4" s="946"/>
      <c r="O4" s="945" t="s">
        <v>70</v>
      </c>
      <c r="P4" s="946"/>
      <c r="Q4" s="945" t="s">
        <v>71</v>
      </c>
      <c r="R4" s="946"/>
      <c r="S4" s="945" t="s">
        <v>72</v>
      </c>
      <c r="T4" s="946"/>
      <c r="U4" s="945" t="s">
        <v>73</v>
      </c>
      <c r="V4" s="946"/>
      <c r="W4" s="945" t="s">
        <v>350</v>
      </c>
      <c r="X4" s="946"/>
      <c r="Y4" s="945" t="s">
        <v>351</v>
      </c>
      <c r="Z4" s="947"/>
      <c r="AA4" s="945" t="s">
        <v>59</v>
      </c>
      <c r="AB4" s="947"/>
    </row>
    <row r="5" spans="1:28" ht="12" thickBot="1">
      <c r="A5" s="44"/>
      <c r="B5" s="45"/>
      <c r="C5" s="46" t="s">
        <v>74</v>
      </c>
      <c r="D5" s="47" t="s">
        <v>75</v>
      </c>
      <c r="E5" s="46" t="s">
        <v>74</v>
      </c>
      <c r="F5" s="47" t="s">
        <v>75</v>
      </c>
      <c r="G5" s="46" t="s">
        <v>74</v>
      </c>
      <c r="H5" s="47" t="s">
        <v>75</v>
      </c>
      <c r="I5" s="46" t="s">
        <v>74</v>
      </c>
      <c r="J5" s="47" t="s">
        <v>75</v>
      </c>
      <c r="K5" s="46" t="s">
        <v>74</v>
      </c>
      <c r="L5" s="47" t="s">
        <v>75</v>
      </c>
      <c r="M5" s="46" t="s">
        <v>74</v>
      </c>
      <c r="N5" s="47" t="s">
        <v>75</v>
      </c>
      <c r="O5" s="46" t="s">
        <v>74</v>
      </c>
      <c r="P5" s="47" t="s">
        <v>75</v>
      </c>
      <c r="Q5" s="46" t="s">
        <v>74</v>
      </c>
      <c r="R5" s="47" t="s">
        <v>75</v>
      </c>
      <c r="S5" s="46" t="s">
        <v>74</v>
      </c>
      <c r="T5" s="47" t="s">
        <v>75</v>
      </c>
      <c r="U5" s="46" t="s">
        <v>74</v>
      </c>
      <c r="V5" s="47" t="s">
        <v>75</v>
      </c>
      <c r="W5" s="46" t="s">
        <v>74</v>
      </c>
      <c r="X5" s="48" t="s">
        <v>75</v>
      </c>
      <c r="Y5" s="46" t="s">
        <v>74</v>
      </c>
      <c r="Z5" s="48" t="s">
        <v>75</v>
      </c>
      <c r="AA5" s="46" t="s">
        <v>74</v>
      </c>
      <c r="AB5" s="48" t="s">
        <v>75</v>
      </c>
    </row>
    <row r="6" spans="1:28" ht="14.65" customHeight="1" thickTop="1">
      <c r="A6" s="15" t="str">
        <f>'t1'!A6</f>
        <v>PERSONALE DIRIGENTE</v>
      </c>
      <c r="B6" s="210" t="str">
        <f>'t1'!B6</f>
        <v>0D00NF</v>
      </c>
      <c r="C6" s="227"/>
      <c r="D6" s="228"/>
      <c r="E6" s="229"/>
      <c r="F6" s="228"/>
      <c r="G6" s="227"/>
      <c r="H6" s="228"/>
      <c r="I6" s="227"/>
      <c r="J6" s="228"/>
      <c r="K6" s="227"/>
      <c r="L6" s="228"/>
      <c r="M6" s="227"/>
      <c r="N6" s="228"/>
      <c r="O6" s="229"/>
      <c r="P6" s="230"/>
      <c r="Q6" s="227"/>
      <c r="R6" s="228"/>
      <c r="S6" s="227"/>
      <c r="T6" s="228"/>
      <c r="U6" s="227"/>
      <c r="V6" s="228"/>
      <c r="W6" s="231"/>
      <c r="X6" s="232"/>
      <c r="Y6" s="231"/>
      <c r="Z6" s="232"/>
      <c r="AA6" s="407">
        <f>SUM(C6,E6,G6,I6,K6,M6,O6,Q6,S6,U6,W6,Y6)</f>
        <v>0</v>
      </c>
      <c r="AB6" s="408">
        <f>SUM(D6,F6,H6,J6,L6,N6,P6,R6,T6,V6,X6,Z6)</f>
        <v>0</v>
      </c>
    </row>
    <row r="7" spans="1:28" ht="14.65" customHeight="1" thickBot="1">
      <c r="A7" s="139" t="str">
        <f>'t1'!A7</f>
        <v>PERSONALE NON DIRIGENTE</v>
      </c>
      <c r="B7" s="203" t="str">
        <f>'t1'!B7</f>
        <v>0000ND</v>
      </c>
      <c r="C7" s="227"/>
      <c r="D7" s="228"/>
      <c r="E7" s="229"/>
      <c r="F7" s="228"/>
      <c r="G7" s="227"/>
      <c r="H7" s="228"/>
      <c r="I7" s="227"/>
      <c r="J7" s="228"/>
      <c r="K7" s="227"/>
      <c r="L7" s="228"/>
      <c r="M7" s="227"/>
      <c r="N7" s="228"/>
      <c r="O7" s="229"/>
      <c r="P7" s="230"/>
      <c r="Q7" s="227"/>
      <c r="R7" s="228"/>
      <c r="S7" s="227"/>
      <c r="T7" s="228"/>
      <c r="U7" s="227"/>
      <c r="V7" s="228"/>
      <c r="W7" s="231"/>
      <c r="X7" s="228"/>
      <c r="Y7" s="231"/>
      <c r="Z7" s="228"/>
      <c r="AA7" s="409">
        <f>SUM(C7,E7,G7,I7,K7,M7,O7,Q7,S7,U7,W7,Y7)</f>
        <v>0</v>
      </c>
      <c r="AB7" s="410">
        <f>SUM(D7,F7,H7,J7,L7,N7,P7,R7,T7,V7,X7,Z7)</f>
        <v>0</v>
      </c>
    </row>
    <row r="8" spans="1:28" ht="16.5" customHeight="1" thickTop="1" thickBot="1">
      <c r="A8" s="49" t="s">
        <v>59</v>
      </c>
      <c r="B8" s="50"/>
      <c r="C8" s="411">
        <f t="shared" ref="C8:AB8" si="0">SUM(C6:C7)</f>
        <v>0</v>
      </c>
      <c r="D8" s="413">
        <f t="shared" si="0"/>
        <v>0</v>
      </c>
      <c r="E8" s="411">
        <f t="shared" si="0"/>
        <v>0</v>
      </c>
      <c r="F8" s="413">
        <f t="shared" si="0"/>
        <v>0</v>
      </c>
      <c r="G8" s="411">
        <f t="shared" si="0"/>
        <v>0</v>
      </c>
      <c r="H8" s="413">
        <f t="shared" si="0"/>
        <v>0</v>
      </c>
      <c r="I8" s="411">
        <f t="shared" si="0"/>
        <v>0</v>
      </c>
      <c r="J8" s="413">
        <f t="shared" si="0"/>
        <v>0</v>
      </c>
      <c r="K8" s="411">
        <f t="shared" si="0"/>
        <v>0</v>
      </c>
      <c r="L8" s="413">
        <f t="shared" si="0"/>
        <v>0</v>
      </c>
      <c r="M8" s="411">
        <f t="shared" si="0"/>
        <v>0</v>
      </c>
      <c r="N8" s="413">
        <f t="shared" si="0"/>
        <v>0</v>
      </c>
      <c r="O8" s="411">
        <f t="shared" si="0"/>
        <v>0</v>
      </c>
      <c r="P8" s="413">
        <f t="shared" si="0"/>
        <v>0</v>
      </c>
      <c r="Q8" s="411">
        <f t="shared" si="0"/>
        <v>0</v>
      </c>
      <c r="R8" s="413">
        <f t="shared" si="0"/>
        <v>0</v>
      </c>
      <c r="S8" s="411">
        <f t="shared" si="0"/>
        <v>0</v>
      </c>
      <c r="T8" s="413">
        <f t="shared" si="0"/>
        <v>0</v>
      </c>
      <c r="U8" s="411">
        <f t="shared" si="0"/>
        <v>0</v>
      </c>
      <c r="V8" s="413">
        <f t="shared" si="0"/>
        <v>0</v>
      </c>
      <c r="W8" s="411">
        <f t="shared" si="0"/>
        <v>0</v>
      </c>
      <c r="X8" s="413">
        <f t="shared" si="0"/>
        <v>0</v>
      </c>
      <c r="Y8" s="411">
        <f t="shared" si="0"/>
        <v>0</v>
      </c>
      <c r="Z8" s="413">
        <f t="shared" si="0"/>
        <v>0</v>
      </c>
      <c r="AA8" s="411">
        <f t="shared" si="0"/>
        <v>0</v>
      </c>
      <c r="AB8" s="412">
        <f t="shared" si="0"/>
        <v>0</v>
      </c>
    </row>
    <row r="9" spans="1:28" ht="8.25" customHeight="1">
      <c r="A9" s="141"/>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row>
    <row r="10" spans="1:28">
      <c r="A10" s="16"/>
      <c r="B10" s="2"/>
      <c r="C10" s="3"/>
      <c r="D10" s="3"/>
      <c r="E10" s="3"/>
      <c r="F10" s="3"/>
      <c r="G10" s="3"/>
      <c r="H10" s="3"/>
      <c r="I10" s="3"/>
      <c r="J10" s="3"/>
      <c r="K10" s="3"/>
      <c r="L10" s="3"/>
      <c r="M10" s="70"/>
    </row>
    <row r="11" spans="1:28" s="3" customFormat="1">
      <c r="A11" s="16"/>
      <c r="B11" s="2"/>
    </row>
  </sheetData>
  <sheetProtection password="DD41" sheet="1" formatColumns="0" selectLockedCells="1"/>
  <mergeCells count="14">
    <mergeCell ref="A1:Y1"/>
    <mergeCell ref="S2:AB2"/>
    <mergeCell ref="M4:N4"/>
    <mergeCell ref="C4:D4"/>
    <mergeCell ref="G4:H4"/>
    <mergeCell ref="I4:J4"/>
    <mergeCell ref="K4:L4"/>
    <mergeCell ref="O4:P4"/>
    <mergeCell ref="Q4:R4"/>
    <mergeCell ref="S4:T4"/>
    <mergeCell ref="AA4:AB4"/>
    <mergeCell ref="U4:V4"/>
    <mergeCell ref="Y4:Z4"/>
    <mergeCell ref="W4:X4"/>
  </mergeCells>
  <phoneticPr fontId="29" type="noConversion"/>
  <printOptions horizontalCentered="1" verticalCentered="1"/>
  <pageMargins left="0" right="0" top="0.19685039370078741" bottom="0.15748031496062992" header="0.23622047244094491" footer="0.19685039370078741"/>
  <pageSetup paperSize="9" scale="7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6"/>
  <dimension ref="A1:T10"/>
  <sheetViews>
    <sheetView showGridLines="0" workbookViewId="0">
      <pane xSplit="2" ySplit="5" topLeftCell="C6" activePane="bottomRight" state="frozen"/>
      <selection activeCell="A2" sqref="A2"/>
      <selection pane="topRight" activeCell="A2" sqref="A2"/>
      <selection pane="bottomLeft" activeCell="A2" sqref="A2"/>
      <selection pane="bottomRight" activeCell="C6" sqref="C6"/>
    </sheetView>
  </sheetViews>
  <sheetFormatPr defaultColWidth="10.6640625" defaultRowHeight="12.75"/>
  <cols>
    <col min="1" max="1" width="38.33203125" style="24" customWidth="1"/>
    <col min="2" max="2" width="10.6640625" style="24" customWidth="1"/>
    <col min="3" max="16" width="13.6640625" style="24" customWidth="1"/>
    <col min="17" max="16384" width="10.6640625" style="24"/>
  </cols>
  <sheetData>
    <row r="1" spans="1:20" s="3" customFormat="1" ht="43.5" customHeight="1">
      <c r="A1" s="912" t="str">
        <f>'t1'!A1</f>
        <v>Amministrazioni incluse nell'elenco ISTAT art. 1 c.3 legge 196/2009 (lista S13) - anno 2023</v>
      </c>
      <c r="B1" s="912"/>
      <c r="C1" s="912"/>
      <c r="D1" s="912"/>
      <c r="E1" s="912"/>
      <c r="F1" s="912"/>
      <c r="G1" s="912"/>
      <c r="H1" s="912"/>
      <c r="I1" s="912"/>
      <c r="J1" s="912"/>
      <c r="K1" s="912"/>
      <c r="L1" s="912"/>
      <c r="M1" s="912"/>
      <c r="N1" s="912"/>
      <c r="P1" s="288"/>
      <c r="Q1"/>
    </row>
    <row r="2" spans="1:20" s="3" customFormat="1" ht="5.25" customHeight="1">
      <c r="A2" s="321"/>
      <c r="B2" s="321"/>
      <c r="C2" s="321"/>
      <c r="D2" s="321"/>
      <c r="E2" s="321"/>
      <c r="F2" s="321"/>
      <c r="G2" s="321"/>
      <c r="H2" s="321"/>
      <c r="I2" s="321"/>
      <c r="J2" s="321"/>
      <c r="K2" s="321"/>
      <c r="L2" s="321"/>
      <c r="M2" s="321"/>
      <c r="N2" s="321"/>
      <c r="P2" s="288"/>
      <c r="Q2"/>
    </row>
    <row r="3" spans="1:20" ht="30" customHeight="1" thickBot="1">
      <c r="M3" s="913"/>
      <c r="N3" s="913"/>
      <c r="O3" s="913"/>
      <c r="P3" s="913"/>
    </row>
    <row r="4" spans="1:20" ht="25.15" customHeight="1">
      <c r="A4" s="250" t="s">
        <v>128</v>
      </c>
      <c r="B4" s="233" t="s">
        <v>56</v>
      </c>
      <c r="C4" s="25" t="s">
        <v>63</v>
      </c>
      <c r="D4" s="26"/>
      <c r="E4" s="25" t="s">
        <v>64</v>
      </c>
      <c r="F4" s="26"/>
      <c r="G4" s="948" t="s">
        <v>51</v>
      </c>
      <c r="H4" s="949"/>
      <c r="I4" s="948" t="s">
        <v>65</v>
      </c>
      <c r="J4" s="949"/>
      <c r="K4" s="948" t="s">
        <v>52</v>
      </c>
      <c r="L4" s="949"/>
      <c r="M4" s="948" t="s">
        <v>53</v>
      </c>
      <c r="N4" s="949"/>
      <c r="O4" s="25" t="s">
        <v>59</v>
      </c>
      <c r="P4" s="26"/>
    </row>
    <row r="5" spans="1:20" ht="14.25" customHeight="1" thickBot="1">
      <c r="A5" s="27"/>
      <c r="B5" s="28"/>
      <c r="C5" s="29" t="s">
        <v>57</v>
      </c>
      <c r="D5" s="30" t="s">
        <v>58</v>
      </c>
      <c r="E5" s="29" t="s">
        <v>57</v>
      </c>
      <c r="F5" s="30" t="s">
        <v>58</v>
      </c>
      <c r="G5" s="29" t="s">
        <v>57</v>
      </c>
      <c r="H5" s="31" t="s">
        <v>58</v>
      </c>
      <c r="I5" s="29" t="s">
        <v>57</v>
      </c>
      <c r="J5" s="31" t="s">
        <v>58</v>
      </c>
      <c r="K5" s="29" t="s">
        <v>57</v>
      </c>
      <c r="L5" s="32" t="s">
        <v>58</v>
      </c>
      <c r="M5" s="29" t="s">
        <v>57</v>
      </c>
      <c r="N5" s="32" t="s">
        <v>58</v>
      </c>
      <c r="O5" s="463" t="s">
        <v>57</v>
      </c>
      <c r="P5" s="464" t="s">
        <v>58</v>
      </c>
    </row>
    <row r="6" spans="1:20" ht="14.1" customHeight="1" thickTop="1">
      <c r="A6" s="15" t="str">
        <f>'t1'!A6</f>
        <v>PERSONALE DIRIGENTE</v>
      </c>
      <c r="B6" s="210" t="str">
        <f>'t1'!B6</f>
        <v>0D00NF</v>
      </c>
      <c r="C6" s="303"/>
      <c r="D6" s="304"/>
      <c r="E6" s="303"/>
      <c r="F6" s="304"/>
      <c r="G6" s="303"/>
      <c r="H6" s="305"/>
      <c r="I6" s="458"/>
      <c r="J6" s="305"/>
      <c r="K6" s="458"/>
      <c r="L6" s="305"/>
      <c r="M6" s="306"/>
      <c r="N6" s="307"/>
      <c r="O6" s="462">
        <f>SUM(C6,E6,G6,I6,K6,M6)</f>
        <v>0</v>
      </c>
      <c r="P6" s="465">
        <f>SUM(D6,F6,H6,J6,L6,N6)</f>
        <v>0</v>
      </c>
    </row>
    <row r="7" spans="1:20" ht="14.1" customHeight="1" thickBot="1">
      <c r="A7" s="139" t="str">
        <f>'t1'!A7</f>
        <v>PERSONALE NON DIRIGENTE</v>
      </c>
      <c r="B7" s="203" t="str">
        <f>'t1'!B7</f>
        <v>0000ND</v>
      </c>
      <c r="C7" s="308"/>
      <c r="D7" s="309"/>
      <c r="E7" s="308"/>
      <c r="F7" s="309"/>
      <c r="G7" s="308"/>
      <c r="H7" s="310"/>
      <c r="I7" s="459"/>
      <c r="J7" s="310"/>
      <c r="K7" s="459"/>
      <c r="L7" s="310"/>
      <c r="M7" s="311"/>
      <c r="N7" s="312"/>
      <c r="O7" s="414">
        <f>SUM(C7,E7,G7,I7,K7,M7)</f>
        <v>0</v>
      </c>
      <c r="P7" s="415">
        <f>SUM(D7,F7,H7,J7,L7,N7)</f>
        <v>0</v>
      </c>
    </row>
    <row r="8" spans="1:20" ht="12" customHeight="1" thickTop="1" thickBot="1">
      <c r="A8" s="33" t="s">
        <v>59</v>
      </c>
      <c r="B8" s="34"/>
      <c r="C8" s="416">
        <f t="shared" ref="C8:P8" si="0">SUM(C6:C7)</f>
        <v>0</v>
      </c>
      <c r="D8" s="417">
        <f t="shared" si="0"/>
        <v>0</v>
      </c>
      <c r="E8" s="416">
        <f t="shared" si="0"/>
        <v>0</v>
      </c>
      <c r="F8" s="417">
        <f t="shared" si="0"/>
        <v>0</v>
      </c>
      <c r="G8" s="416">
        <f t="shared" si="0"/>
        <v>0</v>
      </c>
      <c r="H8" s="417">
        <f t="shared" si="0"/>
        <v>0</v>
      </c>
      <c r="I8" s="460">
        <f t="shared" si="0"/>
        <v>0</v>
      </c>
      <c r="J8" s="417">
        <f t="shared" si="0"/>
        <v>0</v>
      </c>
      <c r="K8" s="460">
        <f t="shared" si="0"/>
        <v>0</v>
      </c>
      <c r="L8" s="417">
        <f t="shared" si="0"/>
        <v>0</v>
      </c>
      <c r="M8" s="461">
        <f t="shared" si="0"/>
        <v>0</v>
      </c>
      <c r="N8" s="417">
        <f t="shared" si="0"/>
        <v>0</v>
      </c>
      <c r="O8" s="416">
        <f t="shared" si="0"/>
        <v>0</v>
      </c>
      <c r="P8" s="417">
        <f t="shared" si="0"/>
        <v>0</v>
      </c>
    </row>
    <row r="9" spans="1:20" ht="18" customHeight="1">
      <c r="A9" s="16"/>
      <c r="B9" s="2"/>
      <c r="C9" s="3"/>
      <c r="D9" s="3"/>
      <c r="E9" s="3"/>
      <c r="F9" s="3"/>
      <c r="G9" s="3"/>
      <c r="H9" s="3"/>
      <c r="I9" s="3"/>
      <c r="J9" s="3"/>
      <c r="K9" s="3"/>
      <c r="L9" s="3"/>
      <c r="M9" s="3"/>
      <c r="N9" s="3"/>
      <c r="O9" s="70"/>
      <c r="P9" s="35"/>
      <c r="Q9" s="35"/>
      <c r="R9" s="35"/>
      <c r="S9" s="35"/>
      <c r="T9" s="35"/>
    </row>
    <row r="10" spans="1:20" s="3" customFormat="1" ht="11.25">
      <c r="A10" s="16"/>
      <c r="B10" s="2"/>
    </row>
  </sheetData>
  <sheetProtection password="DD41" sheet="1" formatColumns="0" selectLockedCells="1"/>
  <mergeCells count="6">
    <mergeCell ref="M3:P3"/>
    <mergeCell ref="A1:N1"/>
    <mergeCell ref="G4:H4"/>
    <mergeCell ref="I4:J4"/>
    <mergeCell ref="M4:N4"/>
    <mergeCell ref="K4:L4"/>
  </mergeCells>
  <phoneticPr fontId="29" type="noConversion"/>
  <printOptions horizontalCentered="1" verticalCentered="1"/>
  <pageMargins left="0" right="0" top="0.19685039370078741" bottom="0.15748031496062992" header="0.19685039370078741" footer="0.15748031496062992"/>
  <pageSetup paperSize="9" scale="7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7"/>
  <dimension ref="A1:AY10"/>
  <sheetViews>
    <sheetView showGridLines="0" workbookViewId="0">
      <pane xSplit="2" ySplit="5" topLeftCell="C6" activePane="bottomRight" state="frozen"/>
      <selection activeCell="A2" sqref="A2"/>
      <selection pane="topRight" activeCell="A2" sqref="A2"/>
      <selection pane="bottomLeft" activeCell="A2" sqref="A2"/>
      <selection pane="bottomRight" activeCell="C7" sqref="C7"/>
    </sheetView>
  </sheetViews>
  <sheetFormatPr defaultColWidth="9.33203125" defaultRowHeight="17.25" customHeight="1"/>
  <cols>
    <col min="1" max="1" width="37.1640625" style="3" customWidth="1"/>
    <col min="2" max="2" width="8.6640625" style="2" bestFit="1" customWidth="1"/>
    <col min="3" max="26" width="7.6640625" style="3" customWidth="1"/>
    <col min="27" max="48" width="8.5" style="3" customWidth="1"/>
    <col min="49" max="49" width="15.1640625" style="583" bestFit="1" customWidth="1"/>
    <col min="50" max="51" width="8.6640625" style="3" customWidth="1"/>
    <col min="52" max="16384" width="9.33203125" style="3"/>
  </cols>
  <sheetData>
    <row r="1" spans="1:51" ht="43.5" customHeight="1">
      <c r="A1" s="950" t="s">
        <v>280</v>
      </c>
      <c r="C1" s="912" t="str">
        <f>'t1'!A1</f>
        <v>Amministrazioni incluse nell'elenco ISTAT art. 1 c.3 legge 196/2009 (lista S13) - anno 2023</v>
      </c>
      <c r="D1" s="912"/>
      <c r="E1" s="912"/>
      <c r="F1" s="912"/>
      <c r="G1" s="912"/>
      <c r="H1" s="912"/>
      <c r="I1" s="912"/>
      <c r="J1" s="912"/>
      <c r="K1" s="912"/>
      <c r="L1" s="912"/>
      <c r="M1" s="912"/>
      <c r="N1" s="912"/>
      <c r="O1" s="912"/>
      <c r="P1" s="912"/>
      <c r="Q1" s="912"/>
      <c r="R1" s="912"/>
      <c r="S1" s="912"/>
      <c r="T1" s="912"/>
      <c r="U1" s="912"/>
      <c r="V1" s="912"/>
      <c r="W1" s="912"/>
      <c r="Z1" s="288"/>
      <c r="AA1" s="912" t="str">
        <f>C1</f>
        <v>Amministrazioni incluse nell'elenco ISTAT art. 1 c.3 legge 196/2009 (lista S13) - anno 2023</v>
      </c>
      <c r="AB1" s="912"/>
      <c r="AC1" s="912"/>
      <c r="AD1" s="912"/>
      <c r="AE1" s="912"/>
      <c r="AF1" s="912"/>
      <c r="AG1" s="912"/>
      <c r="AH1" s="912"/>
      <c r="AI1" s="912"/>
      <c r="AJ1" s="912"/>
      <c r="AK1" s="912"/>
      <c r="AL1" s="912"/>
      <c r="AM1" s="912"/>
      <c r="AN1" s="912"/>
      <c r="AO1" s="912"/>
      <c r="AP1" s="912"/>
      <c r="AQ1" s="912"/>
      <c r="AR1" s="912"/>
      <c r="AS1" s="912"/>
      <c r="AV1" s="288"/>
      <c r="AY1" s="584"/>
    </row>
    <row r="2" spans="1:51" ht="30" customHeight="1" thickBot="1">
      <c r="A2" s="951"/>
      <c r="S2" s="913"/>
      <c r="T2" s="913"/>
      <c r="U2" s="913"/>
      <c r="V2" s="913"/>
      <c r="W2" s="913"/>
      <c r="X2" s="913"/>
      <c r="Y2" s="913"/>
      <c r="Z2" s="913"/>
      <c r="AO2" s="913"/>
      <c r="AP2" s="913"/>
      <c r="AQ2" s="913"/>
      <c r="AR2" s="913"/>
      <c r="AS2" s="913"/>
      <c r="AT2" s="913"/>
      <c r="AU2" s="913"/>
      <c r="AV2" s="913"/>
    </row>
    <row r="3" spans="1:51" ht="12" thickBot="1">
      <c r="A3" s="6"/>
      <c r="B3" s="234" t="s">
        <v>231</v>
      </c>
      <c r="C3" s="115"/>
      <c r="D3" s="8"/>
      <c r="E3" s="8"/>
      <c r="F3" s="8"/>
      <c r="G3" s="8"/>
      <c r="H3" s="8"/>
      <c r="I3" s="8"/>
      <c r="J3" s="8"/>
      <c r="K3" s="8"/>
      <c r="L3" s="8"/>
      <c r="M3" s="8"/>
      <c r="N3" s="8"/>
      <c r="O3" s="8"/>
      <c r="P3" s="8"/>
      <c r="Q3" s="8"/>
      <c r="R3" s="8"/>
      <c r="S3" s="8"/>
      <c r="T3" s="8"/>
      <c r="U3" s="8"/>
      <c r="V3" s="8"/>
      <c r="W3" s="8"/>
      <c r="X3" s="243"/>
      <c r="Y3" s="243"/>
      <c r="Z3" s="112"/>
      <c r="AA3" s="243"/>
      <c r="AB3" s="243"/>
      <c r="AC3" s="243"/>
      <c r="AD3" s="243"/>
      <c r="AE3" s="243"/>
      <c r="AF3" s="243"/>
      <c r="AG3" s="243"/>
      <c r="AH3" s="243"/>
      <c r="AI3" s="243"/>
      <c r="AJ3" s="243"/>
      <c r="AK3" s="243"/>
      <c r="AL3" s="243"/>
      <c r="AM3" s="243"/>
      <c r="AN3" s="243"/>
      <c r="AO3" s="243"/>
      <c r="AP3" s="243"/>
      <c r="AQ3" s="243"/>
      <c r="AR3" s="243"/>
      <c r="AS3" s="243"/>
      <c r="AT3" s="243"/>
      <c r="AU3" s="243"/>
      <c r="AV3" s="244"/>
      <c r="AX3" s="585"/>
      <c r="AY3" s="586"/>
    </row>
    <row r="4" spans="1:51" ht="34.5" thickTop="1">
      <c r="A4" s="17" t="s">
        <v>128</v>
      </c>
      <c r="B4" s="235" t="s">
        <v>96</v>
      </c>
      <c r="C4" s="116" t="s">
        <v>262</v>
      </c>
      <c r="D4" s="117"/>
      <c r="E4" s="118" t="s">
        <v>336</v>
      </c>
      <c r="F4" s="117"/>
      <c r="G4" s="892" t="s">
        <v>110</v>
      </c>
      <c r="H4" s="937"/>
      <c r="I4" s="118" t="s">
        <v>111</v>
      </c>
      <c r="J4" s="118"/>
      <c r="K4" s="118" t="s">
        <v>108</v>
      </c>
      <c r="L4" s="118"/>
      <c r="M4" s="118" t="s">
        <v>102</v>
      </c>
      <c r="N4" s="119"/>
      <c r="O4" s="118" t="s">
        <v>263</v>
      </c>
      <c r="P4" s="118"/>
      <c r="Q4" s="118" t="s">
        <v>106</v>
      </c>
      <c r="R4" s="117"/>
      <c r="S4" s="116" t="s">
        <v>101</v>
      </c>
      <c r="T4" s="118"/>
      <c r="U4" s="118" t="s">
        <v>99</v>
      </c>
      <c r="V4" s="119"/>
      <c r="W4" s="118" t="s">
        <v>105</v>
      </c>
      <c r="X4" s="117"/>
      <c r="Y4" s="118" t="s">
        <v>107</v>
      </c>
      <c r="Z4" s="117"/>
      <c r="AA4" s="118" t="s">
        <v>98</v>
      </c>
      <c r="AB4" s="117"/>
      <c r="AC4" s="118" t="s">
        <v>109</v>
      </c>
      <c r="AD4" s="119"/>
      <c r="AE4" s="118" t="s">
        <v>113</v>
      </c>
      <c r="AF4" s="118"/>
      <c r="AG4" s="118" t="s">
        <v>112</v>
      </c>
      <c r="AH4" s="120"/>
      <c r="AI4" s="118" t="s">
        <v>103</v>
      </c>
      <c r="AJ4" s="119"/>
      <c r="AK4" s="118" t="s">
        <v>104</v>
      </c>
      <c r="AL4" s="118"/>
      <c r="AM4" s="118" t="s">
        <v>97</v>
      </c>
      <c r="AN4" s="119"/>
      <c r="AO4" s="118" t="s">
        <v>100</v>
      </c>
      <c r="AP4" s="117"/>
      <c r="AQ4" s="118" t="s">
        <v>264</v>
      </c>
      <c r="AR4" s="117"/>
      <c r="AS4" s="119" t="s">
        <v>265</v>
      </c>
      <c r="AT4" s="116"/>
      <c r="AU4" s="119" t="s">
        <v>59</v>
      </c>
      <c r="AV4" s="120"/>
      <c r="AX4" s="587" t="s">
        <v>405</v>
      </c>
      <c r="AY4" s="588"/>
    </row>
    <row r="5" spans="1:51" s="242" customFormat="1" ht="9" thickBot="1">
      <c r="A5" s="236"/>
      <c r="B5" s="237"/>
      <c r="C5" s="238" t="s">
        <v>57</v>
      </c>
      <c r="D5" s="239" t="s">
        <v>58</v>
      </c>
      <c r="E5" s="238" t="s">
        <v>57</v>
      </c>
      <c r="F5" s="239" t="s">
        <v>58</v>
      </c>
      <c r="G5" s="238" t="s">
        <v>57</v>
      </c>
      <c r="H5" s="239" t="s">
        <v>58</v>
      </c>
      <c r="I5" s="238" t="s">
        <v>57</v>
      </c>
      <c r="J5" s="239" t="s">
        <v>58</v>
      </c>
      <c r="K5" s="238" t="s">
        <v>57</v>
      </c>
      <c r="L5" s="239" t="s">
        <v>58</v>
      </c>
      <c r="M5" s="238" t="s">
        <v>57</v>
      </c>
      <c r="N5" s="240" t="s">
        <v>58</v>
      </c>
      <c r="O5" s="238" t="s">
        <v>57</v>
      </c>
      <c r="P5" s="240" t="s">
        <v>58</v>
      </c>
      <c r="Q5" s="238" t="s">
        <v>57</v>
      </c>
      <c r="R5" s="240" t="s">
        <v>58</v>
      </c>
      <c r="S5" s="238" t="s">
        <v>57</v>
      </c>
      <c r="T5" s="240" t="s">
        <v>58</v>
      </c>
      <c r="U5" s="238" t="s">
        <v>57</v>
      </c>
      <c r="V5" s="240" t="s">
        <v>58</v>
      </c>
      <c r="W5" s="238" t="s">
        <v>57</v>
      </c>
      <c r="X5" s="239" t="s">
        <v>58</v>
      </c>
      <c r="Y5" s="238" t="s">
        <v>57</v>
      </c>
      <c r="Z5" s="239" t="s">
        <v>58</v>
      </c>
      <c r="AA5" s="238" t="s">
        <v>57</v>
      </c>
      <c r="AB5" s="239" t="s">
        <v>58</v>
      </c>
      <c r="AC5" s="238" t="s">
        <v>57</v>
      </c>
      <c r="AD5" s="240" t="s">
        <v>58</v>
      </c>
      <c r="AE5" s="238" t="s">
        <v>57</v>
      </c>
      <c r="AF5" s="240" t="s">
        <v>58</v>
      </c>
      <c r="AG5" s="238" t="s">
        <v>57</v>
      </c>
      <c r="AH5" s="240" t="s">
        <v>58</v>
      </c>
      <c r="AI5" s="238" t="s">
        <v>57</v>
      </c>
      <c r="AJ5" s="240" t="s">
        <v>58</v>
      </c>
      <c r="AK5" s="238" t="s">
        <v>57</v>
      </c>
      <c r="AL5" s="240" t="s">
        <v>58</v>
      </c>
      <c r="AM5" s="238" t="s">
        <v>57</v>
      </c>
      <c r="AN5" s="240" t="s">
        <v>58</v>
      </c>
      <c r="AO5" s="238" t="s">
        <v>57</v>
      </c>
      <c r="AP5" s="239" t="s">
        <v>58</v>
      </c>
      <c r="AQ5" s="238" t="s">
        <v>57</v>
      </c>
      <c r="AR5" s="239" t="s">
        <v>58</v>
      </c>
      <c r="AS5" s="241" t="s">
        <v>57</v>
      </c>
      <c r="AT5" s="239" t="s">
        <v>58</v>
      </c>
      <c r="AU5" s="241" t="s">
        <v>57</v>
      </c>
      <c r="AV5" s="240" t="s">
        <v>58</v>
      </c>
      <c r="AW5" s="589"/>
      <c r="AX5" s="590" t="s">
        <v>57</v>
      </c>
      <c r="AY5" s="591" t="s">
        <v>58</v>
      </c>
    </row>
    <row r="6" spans="1:51" ht="12.75" customHeight="1" thickTop="1">
      <c r="A6" s="15" t="str">
        <f>'t1'!A6</f>
        <v>PERSONALE DIRIGENTE</v>
      </c>
      <c r="B6" s="210" t="str">
        <f>'t1'!B6</f>
        <v>0D00NF</v>
      </c>
      <c r="C6" s="570"/>
      <c r="D6" s="571"/>
      <c r="E6" s="570"/>
      <c r="F6" s="571"/>
      <c r="G6" s="570"/>
      <c r="H6" s="571"/>
      <c r="I6" s="570"/>
      <c r="J6" s="571"/>
      <c r="K6" s="570"/>
      <c r="L6" s="571"/>
      <c r="M6" s="570"/>
      <c r="N6" s="571"/>
      <c r="O6" s="570"/>
      <c r="P6" s="571"/>
      <c r="Q6" s="570"/>
      <c r="R6" s="571"/>
      <c r="S6" s="570"/>
      <c r="T6" s="571"/>
      <c r="U6" s="570"/>
      <c r="V6" s="571"/>
      <c r="W6" s="570"/>
      <c r="X6" s="571"/>
      <c r="Y6" s="570"/>
      <c r="Z6" s="571"/>
      <c r="AA6" s="570"/>
      <c r="AB6" s="571"/>
      <c r="AC6" s="570"/>
      <c r="AD6" s="571"/>
      <c r="AE6" s="570"/>
      <c r="AF6" s="571"/>
      <c r="AG6" s="570"/>
      <c r="AH6" s="571"/>
      <c r="AI6" s="570"/>
      <c r="AJ6" s="571"/>
      <c r="AK6" s="570"/>
      <c r="AL6" s="571"/>
      <c r="AM6" s="570"/>
      <c r="AN6" s="571"/>
      <c r="AO6" s="570"/>
      <c r="AP6" s="571"/>
      <c r="AQ6" s="570"/>
      <c r="AR6" s="571"/>
      <c r="AS6" s="570"/>
      <c r="AT6" s="571"/>
      <c r="AU6" s="418">
        <f>SUM(S6,U6,W6,Y6,C6,E6,G6,I6,K6,M6,O6,Q6,AA6,AC6,AE6,AG6,AI6,AK6,AM6,AO6,AQ6,AS6)</f>
        <v>0</v>
      </c>
      <c r="AV6" s="419">
        <f>SUM(T6,V6,X6,Z6,D6,F6,H6,J6,L6,N6,P6,R6,AB6,AD6,AF6,AH6,AJ6,AL6,AN6,AP6,AR6,AT6)</f>
        <v>0</v>
      </c>
      <c r="AW6" s="592" t="str">
        <f>IF((AU6+AV6)=(AX6+AY6),"OK","Controllare totale")</f>
        <v>OK</v>
      </c>
      <c r="AX6" s="593">
        <f>'t1'!K6-'t3'!C6-'t3'!E6-'t3'!G6-'t3'!I6+'t3'!K6+'t3'!M6+'t3'!O6</f>
        <v>0</v>
      </c>
      <c r="AY6" s="594">
        <f>'t1'!L6-'t3'!D6-'t3'!F6-'t3'!H6-'t3'!J6+'t3'!L6+'t3'!N6+'t3'!P6</f>
        <v>0</v>
      </c>
    </row>
    <row r="7" spans="1:51" ht="12.75" customHeight="1" thickBot="1">
      <c r="A7" s="14" t="str">
        <f>'t1'!A7</f>
        <v>PERSONALE NON DIRIGENTE</v>
      </c>
      <c r="B7" s="138" t="str">
        <f>'t1'!B7</f>
        <v>0000ND</v>
      </c>
      <c r="C7" s="572"/>
      <c r="D7" s="226"/>
      <c r="E7" s="572"/>
      <c r="F7" s="226"/>
      <c r="G7" s="572"/>
      <c r="H7" s="226"/>
      <c r="I7" s="572"/>
      <c r="J7" s="226"/>
      <c r="K7" s="572"/>
      <c r="L7" s="226"/>
      <c r="M7" s="572"/>
      <c r="N7" s="226"/>
      <c r="O7" s="572"/>
      <c r="P7" s="226"/>
      <c r="Q7" s="572"/>
      <c r="R7" s="226"/>
      <c r="S7" s="572"/>
      <c r="T7" s="226"/>
      <c r="U7" s="572"/>
      <c r="V7" s="226"/>
      <c r="W7" s="572"/>
      <c r="X7" s="226"/>
      <c r="Y7" s="572"/>
      <c r="Z7" s="226"/>
      <c r="AA7" s="572"/>
      <c r="AB7" s="226"/>
      <c r="AC7" s="572"/>
      <c r="AD7" s="226"/>
      <c r="AE7" s="572"/>
      <c r="AF7" s="226"/>
      <c r="AG7" s="572"/>
      <c r="AH7" s="226"/>
      <c r="AI7" s="572"/>
      <c r="AJ7" s="226"/>
      <c r="AK7" s="572"/>
      <c r="AL7" s="226"/>
      <c r="AM7" s="572"/>
      <c r="AN7" s="226"/>
      <c r="AO7" s="572"/>
      <c r="AP7" s="226"/>
      <c r="AQ7" s="572"/>
      <c r="AR7" s="226"/>
      <c r="AS7" s="572"/>
      <c r="AT7" s="226"/>
      <c r="AU7" s="420">
        <f>SUM(C7,E7,G7,I7,K7,M7,O7,Q7,S7,U7,W7,Y7,AA7,AC7,AE7,AG7,AI7,AK7,AM7,AO7,AQ7,AS7)</f>
        <v>0</v>
      </c>
      <c r="AV7" s="381">
        <f>SUM(T7,V7,X7,Z7,D7,F7,H7,J7,L7,N7,P7,R7,AB7,AD7,AF7,AH7,AJ7,AL7,AN7,AP7,AR7,AT7)</f>
        <v>0</v>
      </c>
      <c r="AW7" s="592" t="str">
        <f>IF((AU7+AV7)=(AX7+AY7),"OK","Controllare totale")</f>
        <v>OK</v>
      </c>
      <c r="AX7" s="595">
        <f>'t1'!K7-'t3'!C7-'t3'!E7-'t3'!G7-'t3'!I7+'t3'!K7+'t3'!M7+'t3'!O7</f>
        <v>0</v>
      </c>
      <c r="AY7" s="596">
        <f>'t1'!L7-'t3'!D7-'t3'!F7-'t3'!H7-'t3'!J7+'t3'!L7+'t3'!N7+'t3'!P7</f>
        <v>0</v>
      </c>
    </row>
    <row r="8" spans="1:51" ht="17.25" customHeight="1" thickTop="1" thickBot="1">
      <c r="A8" s="10" t="s">
        <v>59</v>
      </c>
      <c r="B8" s="140"/>
      <c r="C8" s="382">
        <f t="shared" ref="C8:AV8" si="0">SUM(C6:C7)</f>
        <v>0</v>
      </c>
      <c r="D8" s="383">
        <f t="shared" si="0"/>
        <v>0</v>
      </c>
      <c r="E8" s="382">
        <f t="shared" si="0"/>
        <v>0</v>
      </c>
      <c r="F8" s="383">
        <f t="shared" si="0"/>
        <v>0</v>
      </c>
      <c r="G8" s="382">
        <f t="shared" si="0"/>
        <v>0</v>
      </c>
      <c r="H8" s="383">
        <f t="shared" si="0"/>
        <v>0</v>
      </c>
      <c r="I8" s="382">
        <f t="shared" si="0"/>
        <v>0</v>
      </c>
      <c r="J8" s="383">
        <f t="shared" si="0"/>
        <v>0</v>
      </c>
      <c r="K8" s="382">
        <f t="shared" si="0"/>
        <v>0</v>
      </c>
      <c r="L8" s="383">
        <f t="shared" si="0"/>
        <v>0</v>
      </c>
      <c r="M8" s="382">
        <f t="shared" si="0"/>
        <v>0</v>
      </c>
      <c r="N8" s="383">
        <f t="shared" si="0"/>
        <v>0</v>
      </c>
      <c r="O8" s="382">
        <f t="shared" si="0"/>
        <v>0</v>
      </c>
      <c r="P8" s="383">
        <f t="shared" si="0"/>
        <v>0</v>
      </c>
      <c r="Q8" s="382">
        <f t="shared" si="0"/>
        <v>0</v>
      </c>
      <c r="R8" s="383">
        <f t="shared" si="0"/>
        <v>0</v>
      </c>
      <c r="S8" s="382">
        <f t="shared" si="0"/>
        <v>0</v>
      </c>
      <c r="T8" s="383">
        <f t="shared" si="0"/>
        <v>0</v>
      </c>
      <c r="U8" s="382">
        <f t="shared" si="0"/>
        <v>0</v>
      </c>
      <c r="V8" s="383">
        <f t="shared" si="0"/>
        <v>0</v>
      </c>
      <c r="W8" s="382">
        <f t="shared" si="0"/>
        <v>0</v>
      </c>
      <c r="X8" s="383">
        <f t="shared" si="0"/>
        <v>0</v>
      </c>
      <c r="Y8" s="382">
        <f t="shared" si="0"/>
        <v>0</v>
      </c>
      <c r="Z8" s="383">
        <f t="shared" si="0"/>
        <v>0</v>
      </c>
      <c r="AA8" s="382">
        <f t="shared" si="0"/>
        <v>0</v>
      </c>
      <c r="AB8" s="383">
        <f t="shared" si="0"/>
        <v>0</v>
      </c>
      <c r="AC8" s="382">
        <f t="shared" si="0"/>
        <v>0</v>
      </c>
      <c r="AD8" s="383">
        <f t="shared" si="0"/>
        <v>0</v>
      </c>
      <c r="AE8" s="382">
        <f t="shared" si="0"/>
        <v>0</v>
      </c>
      <c r="AF8" s="383">
        <f t="shared" si="0"/>
        <v>0</v>
      </c>
      <c r="AG8" s="382">
        <f t="shared" si="0"/>
        <v>0</v>
      </c>
      <c r="AH8" s="383">
        <f t="shared" si="0"/>
        <v>0</v>
      </c>
      <c r="AI8" s="382">
        <f t="shared" si="0"/>
        <v>0</v>
      </c>
      <c r="AJ8" s="383">
        <f t="shared" si="0"/>
        <v>0</v>
      </c>
      <c r="AK8" s="382">
        <f t="shared" si="0"/>
        <v>0</v>
      </c>
      <c r="AL8" s="383">
        <f t="shared" si="0"/>
        <v>0</v>
      </c>
      <c r="AM8" s="382">
        <f t="shared" si="0"/>
        <v>0</v>
      </c>
      <c r="AN8" s="383">
        <f t="shared" si="0"/>
        <v>0</v>
      </c>
      <c r="AO8" s="382">
        <f t="shared" si="0"/>
        <v>0</v>
      </c>
      <c r="AP8" s="383">
        <f t="shared" si="0"/>
        <v>0</v>
      </c>
      <c r="AQ8" s="382">
        <f t="shared" si="0"/>
        <v>0</v>
      </c>
      <c r="AR8" s="383">
        <f t="shared" si="0"/>
        <v>0</v>
      </c>
      <c r="AS8" s="382">
        <f t="shared" si="0"/>
        <v>0</v>
      </c>
      <c r="AT8" s="383">
        <f t="shared" si="0"/>
        <v>0</v>
      </c>
      <c r="AU8" s="382">
        <f t="shared" si="0"/>
        <v>0</v>
      </c>
      <c r="AV8" s="384">
        <f t="shared" si="0"/>
        <v>0</v>
      </c>
      <c r="AW8" s="592" t="str">
        <f>IF((AU49+AV49)=(AX8+AY8),"OK","Controllare totale")</f>
        <v>OK</v>
      </c>
      <c r="AX8" s="597">
        <f>SUM(AX6:AX7)</f>
        <v>0</v>
      </c>
      <c r="AY8" s="598">
        <f>SUM(AY6:AY7)</f>
        <v>0</v>
      </c>
    </row>
    <row r="9" spans="1:51" ht="17.25" customHeight="1">
      <c r="C9" s="16"/>
      <c r="S9" s="2"/>
      <c r="T9" s="2"/>
      <c r="AA9" s="16"/>
    </row>
    <row r="10" spans="1:51" ht="11.25">
      <c r="C10" s="16"/>
      <c r="AA10" s="16"/>
    </row>
  </sheetData>
  <sheetProtection password="DD41" sheet="1" formatColumns="0" selectLockedCells="1"/>
  <mergeCells count="6">
    <mergeCell ref="A1:A2"/>
    <mergeCell ref="G4:H4"/>
    <mergeCell ref="S2:Z2"/>
    <mergeCell ref="AO2:AV2"/>
    <mergeCell ref="C1:W1"/>
    <mergeCell ref="AA1:AS1"/>
  </mergeCells>
  <phoneticPr fontId="29" type="noConversion"/>
  <printOptions horizontalCentered="1" verticalCentered="1"/>
  <pageMargins left="0.19685039370078741" right="0.19685039370078741" top="0.19685039370078741" bottom="0.15748031496062992" header="0.23622047244094491" footer="0.19685039370078741"/>
  <pageSetup paperSize="9" scale="75" orientation="landscape" horizontalDpi="300" verticalDpi="4294967292"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29"/>
  <dimension ref="A1:AY12"/>
  <sheetViews>
    <sheetView showGridLines="0" zoomScaleNormal="100" workbookViewId="0">
      <pane xSplit="2" ySplit="7" topLeftCell="C8" activePane="bottomRight" state="frozen"/>
      <selection activeCell="A2" sqref="A2"/>
      <selection pane="topRight" activeCell="A2" sqref="A2"/>
      <selection pane="bottomLeft" activeCell="A2" sqref="A2"/>
      <selection pane="bottomRight" activeCell="AA8" sqref="AA8"/>
    </sheetView>
  </sheetViews>
  <sheetFormatPr defaultColWidth="10.6640625" defaultRowHeight="11.25"/>
  <cols>
    <col min="1" max="1" width="38.6640625" style="20" customWidth="1"/>
    <col min="2" max="2" width="8.6640625" style="19" customWidth="1"/>
    <col min="3" max="6" width="11.33203125" style="20" hidden="1" customWidth="1"/>
    <col min="7" max="10" width="10.33203125" style="20" hidden="1" customWidth="1"/>
    <col min="11" max="14" width="10.6640625" style="20" hidden="1" customWidth="1"/>
    <col min="15" max="22" width="9.33203125" style="20" hidden="1" customWidth="1"/>
    <col min="23" max="26" width="10.6640625" style="20" hidden="1" customWidth="1"/>
    <col min="27" max="30" width="11.33203125" style="20" customWidth="1"/>
    <col min="31" max="34" width="10.33203125" style="20" customWidth="1"/>
    <col min="35" max="38" width="10.6640625" style="20"/>
    <col min="39" max="46" width="9.33203125" style="20" customWidth="1"/>
    <col min="47" max="16384" width="10.6640625" style="20"/>
  </cols>
  <sheetData>
    <row r="1" spans="1:51" s="3" customFormat="1" ht="43.5" customHeight="1">
      <c r="A1" s="894" t="str">
        <f>'t1'!A1</f>
        <v>Amministrazioni incluse nell'elenco ISTAT art. 1 c.3 legge 196/2009 (lista S13) - anno 2023</v>
      </c>
      <c r="B1" s="894"/>
      <c r="C1" s="894"/>
      <c r="D1" s="894"/>
      <c r="E1" s="894"/>
      <c r="F1" s="894"/>
      <c r="G1" s="894"/>
      <c r="H1" s="894"/>
      <c r="I1" s="894"/>
      <c r="J1" s="894"/>
      <c r="K1" s="894"/>
      <c r="L1" s="894"/>
      <c r="M1" s="894"/>
      <c r="N1" s="894"/>
      <c r="O1" s="894"/>
      <c r="P1" s="894"/>
      <c r="Q1" s="894"/>
      <c r="R1" s="894"/>
      <c r="S1" s="894"/>
      <c r="T1" s="894"/>
      <c r="U1" s="894"/>
      <c r="V1" s="894"/>
      <c r="W1" s="894"/>
      <c r="X1" s="894"/>
      <c r="Y1" s="894"/>
      <c r="Z1" s="894"/>
      <c r="AA1" s="894"/>
      <c r="AB1" s="894"/>
      <c r="AC1" s="894"/>
      <c r="AD1" s="894"/>
      <c r="AE1" s="894"/>
      <c r="AF1" s="690"/>
      <c r="AG1" s="690"/>
      <c r="AH1" s="690"/>
      <c r="AI1" s="690"/>
      <c r="AJ1" s="690"/>
      <c r="AK1" s="690"/>
      <c r="AL1" s="690"/>
      <c r="AM1" s="690"/>
      <c r="AN1" s="690"/>
      <c r="AO1" s="690"/>
      <c r="AP1" s="690"/>
      <c r="AQ1" s="690"/>
      <c r="AR1" s="690"/>
      <c r="AS1" s="690"/>
      <c r="AT1" s="690"/>
      <c r="AU1" s="690"/>
      <c r="AV1" s="690"/>
      <c r="AW1" s="20"/>
      <c r="AX1" s="20"/>
      <c r="AY1" s="20"/>
    </row>
    <row r="2" spans="1:51" ht="30" customHeight="1" thickBot="1">
      <c r="A2" s="18"/>
      <c r="G2" s="913"/>
      <c r="H2" s="913"/>
      <c r="I2" s="913"/>
      <c r="J2" s="913"/>
      <c r="AE2" s="913"/>
      <c r="AF2" s="913"/>
      <c r="AG2" s="913"/>
      <c r="AH2" s="913"/>
    </row>
    <row r="3" spans="1:51" ht="15.75" customHeight="1" thickBot="1">
      <c r="A3" s="271"/>
      <c r="B3" s="276"/>
      <c r="C3" s="277" t="s">
        <v>234</v>
      </c>
      <c r="D3" s="277"/>
      <c r="E3" s="277"/>
      <c r="F3" s="277"/>
      <c r="G3" s="277"/>
      <c r="H3" s="278"/>
      <c r="I3" s="277"/>
      <c r="J3" s="278"/>
      <c r="K3" s="278"/>
      <c r="L3" s="278"/>
      <c r="M3" s="278"/>
      <c r="N3" s="278"/>
      <c r="O3" s="278"/>
      <c r="P3" s="278"/>
      <c r="Q3" s="278"/>
      <c r="R3" s="278"/>
      <c r="S3" s="278"/>
      <c r="T3" s="278"/>
      <c r="U3" s="278"/>
      <c r="V3" s="278"/>
      <c r="W3" s="278"/>
      <c r="X3" s="278"/>
      <c r="AA3" s="277" t="s">
        <v>234</v>
      </c>
      <c r="AB3" s="277"/>
      <c r="AC3" s="277"/>
      <c r="AD3" s="277"/>
      <c r="AE3" s="277"/>
      <c r="AF3" s="278"/>
      <c r="AG3" s="277"/>
      <c r="AH3" s="278"/>
      <c r="AI3" s="278"/>
      <c r="AJ3" s="278"/>
      <c r="AK3" s="278"/>
      <c r="AL3" s="278"/>
      <c r="AM3" s="278"/>
      <c r="AN3" s="278"/>
      <c r="AO3" s="278"/>
      <c r="AP3" s="278"/>
      <c r="AQ3" s="278"/>
      <c r="AR3" s="278"/>
      <c r="AS3" s="278"/>
      <c r="AT3" s="278"/>
      <c r="AU3" s="278"/>
      <c r="AV3" s="278"/>
    </row>
    <row r="4" spans="1:51" ht="37.5" customHeight="1" thickTop="1">
      <c r="A4" s="21" t="s">
        <v>128</v>
      </c>
      <c r="B4" s="22" t="s">
        <v>56</v>
      </c>
      <c r="C4" s="434" t="s">
        <v>61</v>
      </c>
      <c r="D4" s="435"/>
      <c r="E4" s="958" t="s">
        <v>331</v>
      </c>
      <c r="F4" s="959"/>
      <c r="G4" s="956" t="s">
        <v>354</v>
      </c>
      <c r="H4" s="942"/>
      <c r="I4" s="956" t="s">
        <v>330</v>
      </c>
      <c r="J4" s="942"/>
      <c r="K4" s="957" t="s">
        <v>329</v>
      </c>
      <c r="L4" s="942"/>
      <c r="M4" s="956" t="s">
        <v>328</v>
      </c>
      <c r="N4" s="942"/>
      <c r="O4" s="956" t="s">
        <v>307</v>
      </c>
      <c r="P4" s="942"/>
      <c r="Q4" s="956" t="s">
        <v>169</v>
      </c>
      <c r="R4" s="942"/>
      <c r="S4" s="956" t="s">
        <v>54</v>
      </c>
      <c r="T4" s="942"/>
      <c r="U4" s="957" t="s">
        <v>525</v>
      </c>
      <c r="V4" s="942"/>
      <c r="W4" s="360" t="s">
        <v>59</v>
      </c>
      <c r="X4" s="359"/>
      <c r="AA4" s="434" t="s">
        <v>61</v>
      </c>
      <c r="AB4" s="435"/>
      <c r="AC4" s="958" t="s">
        <v>331</v>
      </c>
      <c r="AD4" s="959"/>
      <c r="AE4" s="956" t="s">
        <v>354</v>
      </c>
      <c r="AF4" s="942"/>
      <c r="AG4" s="956" t="s">
        <v>330</v>
      </c>
      <c r="AH4" s="942"/>
      <c r="AI4" s="957" t="s">
        <v>329</v>
      </c>
      <c r="AJ4" s="942"/>
      <c r="AK4" s="956" t="s">
        <v>328</v>
      </c>
      <c r="AL4" s="942"/>
      <c r="AM4" s="956" t="s">
        <v>307</v>
      </c>
      <c r="AN4" s="942"/>
      <c r="AO4" s="956" t="s">
        <v>169</v>
      </c>
      <c r="AP4" s="942"/>
      <c r="AQ4" s="956" t="s">
        <v>54</v>
      </c>
      <c r="AR4" s="942"/>
      <c r="AS4" s="957" t="s">
        <v>525</v>
      </c>
      <c r="AT4" s="942"/>
      <c r="AU4" s="360" t="s">
        <v>59</v>
      </c>
      <c r="AV4" s="359"/>
    </row>
    <row r="5" spans="1:51">
      <c r="A5" s="21"/>
      <c r="B5" s="22"/>
      <c r="C5" s="952" t="s">
        <v>267</v>
      </c>
      <c r="D5" s="953"/>
      <c r="E5" s="952" t="s">
        <v>332</v>
      </c>
      <c r="F5" s="953"/>
      <c r="G5" s="952" t="s">
        <v>353</v>
      </c>
      <c r="H5" s="953"/>
      <c r="I5" s="952" t="s">
        <v>333</v>
      </c>
      <c r="J5" s="953"/>
      <c r="K5" s="952" t="s">
        <v>334</v>
      </c>
      <c r="L5" s="953"/>
      <c r="M5" s="954" t="s">
        <v>335</v>
      </c>
      <c r="N5" s="955"/>
      <c r="O5" s="954" t="s">
        <v>268</v>
      </c>
      <c r="P5" s="955"/>
      <c r="Q5" s="954" t="s">
        <v>269</v>
      </c>
      <c r="R5" s="955"/>
      <c r="S5" s="954" t="s">
        <v>284</v>
      </c>
      <c r="T5" s="955"/>
      <c r="U5" s="954" t="s">
        <v>524</v>
      </c>
      <c r="V5" s="955"/>
      <c r="W5" s="361"/>
      <c r="X5" s="424"/>
      <c r="AA5" s="952" t="s">
        <v>267</v>
      </c>
      <c r="AB5" s="953"/>
      <c r="AC5" s="952" t="s">
        <v>332</v>
      </c>
      <c r="AD5" s="953"/>
      <c r="AE5" s="952" t="s">
        <v>353</v>
      </c>
      <c r="AF5" s="953"/>
      <c r="AG5" s="952" t="s">
        <v>333</v>
      </c>
      <c r="AH5" s="953"/>
      <c r="AI5" s="952" t="s">
        <v>334</v>
      </c>
      <c r="AJ5" s="953"/>
      <c r="AK5" s="954" t="s">
        <v>335</v>
      </c>
      <c r="AL5" s="955"/>
      <c r="AM5" s="954" t="s">
        <v>268</v>
      </c>
      <c r="AN5" s="955"/>
      <c r="AO5" s="954" t="s">
        <v>269</v>
      </c>
      <c r="AP5" s="955"/>
      <c r="AQ5" s="954" t="s">
        <v>284</v>
      </c>
      <c r="AR5" s="955"/>
      <c r="AS5" s="954" t="s">
        <v>524</v>
      </c>
      <c r="AT5" s="955"/>
      <c r="AU5" s="361"/>
      <c r="AV5" s="424"/>
    </row>
    <row r="6" spans="1:51" ht="12" customHeight="1">
      <c r="A6" s="21"/>
      <c r="B6" s="22"/>
      <c r="C6" s="249" t="s">
        <v>57</v>
      </c>
      <c r="D6" s="362" t="s">
        <v>58</v>
      </c>
      <c r="E6" s="249" t="s">
        <v>57</v>
      </c>
      <c r="F6" s="362" t="s">
        <v>58</v>
      </c>
      <c r="G6" s="249" t="s">
        <v>57</v>
      </c>
      <c r="H6" s="362" t="s">
        <v>58</v>
      </c>
      <c r="I6" s="249" t="s">
        <v>57</v>
      </c>
      <c r="J6" s="362" t="s">
        <v>58</v>
      </c>
      <c r="K6" s="249" t="s">
        <v>57</v>
      </c>
      <c r="L6" s="362" t="s">
        <v>58</v>
      </c>
      <c r="M6" s="249" t="s">
        <v>57</v>
      </c>
      <c r="N6" s="362" t="s">
        <v>58</v>
      </c>
      <c r="O6" s="249" t="s">
        <v>57</v>
      </c>
      <c r="P6" s="506" t="s">
        <v>58</v>
      </c>
      <c r="Q6" s="249" t="s">
        <v>57</v>
      </c>
      <c r="R6" s="506" t="s">
        <v>58</v>
      </c>
      <c r="S6" s="249" t="s">
        <v>57</v>
      </c>
      <c r="T6" s="502" t="s">
        <v>58</v>
      </c>
      <c r="U6" s="249" t="s">
        <v>57</v>
      </c>
      <c r="V6" s="502" t="s">
        <v>58</v>
      </c>
      <c r="W6" s="249" t="s">
        <v>57</v>
      </c>
      <c r="X6" s="362" t="s">
        <v>58</v>
      </c>
      <c r="AA6" s="249" t="s">
        <v>57</v>
      </c>
      <c r="AB6" s="362" t="s">
        <v>58</v>
      </c>
      <c r="AC6" s="249" t="s">
        <v>57</v>
      </c>
      <c r="AD6" s="362" t="s">
        <v>58</v>
      </c>
      <c r="AE6" s="249" t="s">
        <v>57</v>
      </c>
      <c r="AF6" s="362" t="s">
        <v>58</v>
      </c>
      <c r="AG6" s="249" t="s">
        <v>57</v>
      </c>
      <c r="AH6" s="362" t="s">
        <v>58</v>
      </c>
      <c r="AI6" s="249" t="s">
        <v>57</v>
      </c>
      <c r="AJ6" s="362" t="s">
        <v>58</v>
      </c>
      <c r="AK6" s="249" t="s">
        <v>57</v>
      </c>
      <c r="AL6" s="362" t="s">
        <v>58</v>
      </c>
      <c r="AM6" s="249" t="s">
        <v>57</v>
      </c>
      <c r="AN6" s="506" t="s">
        <v>58</v>
      </c>
      <c r="AO6" s="249" t="s">
        <v>57</v>
      </c>
      <c r="AP6" s="506" t="s">
        <v>58</v>
      </c>
      <c r="AQ6" s="249" t="s">
        <v>57</v>
      </c>
      <c r="AR6" s="502" t="s">
        <v>58</v>
      </c>
      <c r="AS6" s="249" t="s">
        <v>57</v>
      </c>
      <c r="AT6" s="502" t="s">
        <v>58</v>
      </c>
      <c r="AU6" s="249" t="s">
        <v>57</v>
      </c>
      <c r="AV6" s="362" t="s">
        <v>58</v>
      </c>
    </row>
    <row r="7" spans="1:51" s="262" customFormat="1" ht="9" thickBot="1">
      <c r="A7" s="259"/>
      <c r="B7" s="261"/>
      <c r="C7" s="260" t="s">
        <v>62</v>
      </c>
      <c r="D7" s="261" t="s">
        <v>62</v>
      </c>
      <c r="E7" s="260" t="s">
        <v>62</v>
      </c>
      <c r="F7" s="261" t="s">
        <v>62</v>
      </c>
      <c r="G7" s="260" t="s">
        <v>62</v>
      </c>
      <c r="H7" s="261" t="s">
        <v>62</v>
      </c>
      <c r="I7" s="260" t="s">
        <v>62</v>
      </c>
      <c r="J7" s="261" t="s">
        <v>62</v>
      </c>
      <c r="K7" s="260" t="s">
        <v>62</v>
      </c>
      <c r="L7" s="261" t="s">
        <v>62</v>
      </c>
      <c r="M7" s="260" t="s">
        <v>62</v>
      </c>
      <c r="N7" s="261" t="s">
        <v>62</v>
      </c>
      <c r="O7" s="260" t="s">
        <v>62</v>
      </c>
      <c r="P7" s="507" t="s">
        <v>62</v>
      </c>
      <c r="Q7" s="260" t="s">
        <v>62</v>
      </c>
      <c r="R7" s="507" t="s">
        <v>62</v>
      </c>
      <c r="S7" s="260" t="s">
        <v>62</v>
      </c>
      <c r="T7" s="507" t="s">
        <v>62</v>
      </c>
      <c r="U7" s="260" t="s">
        <v>62</v>
      </c>
      <c r="V7" s="507" t="s">
        <v>62</v>
      </c>
      <c r="W7" s="512" t="s">
        <v>62</v>
      </c>
      <c r="X7" s="470" t="s">
        <v>62</v>
      </c>
      <c r="AA7" s="260" t="s">
        <v>62</v>
      </c>
      <c r="AB7" s="261" t="s">
        <v>62</v>
      </c>
      <c r="AC7" s="260" t="s">
        <v>62</v>
      </c>
      <c r="AD7" s="261" t="s">
        <v>62</v>
      </c>
      <c r="AE7" s="260" t="s">
        <v>62</v>
      </c>
      <c r="AF7" s="261" t="s">
        <v>62</v>
      </c>
      <c r="AG7" s="260" t="s">
        <v>62</v>
      </c>
      <c r="AH7" s="261" t="s">
        <v>62</v>
      </c>
      <c r="AI7" s="260" t="s">
        <v>62</v>
      </c>
      <c r="AJ7" s="261" t="s">
        <v>62</v>
      </c>
      <c r="AK7" s="260" t="s">
        <v>62</v>
      </c>
      <c r="AL7" s="261" t="s">
        <v>62</v>
      </c>
      <c r="AM7" s="260" t="s">
        <v>62</v>
      </c>
      <c r="AN7" s="507" t="s">
        <v>62</v>
      </c>
      <c r="AO7" s="260" t="s">
        <v>62</v>
      </c>
      <c r="AP7" s="507" t="s">
        <v>62</v>
      </c>
      <c r="AQ7" s="260" t="s">
        <v>62</v>
      </c>
      <c r="AR7" s="507" t="s">
        <v>62</v>
      </c>
      <c r="AS7" s="260" t="s">
        <v>62</v>
      </c>
      <c r="AT7" s="507" t="s">
        <v>62</v>
      </c>
      <c r="AU7" s="512" t="s">
        <v>62</v>
      </c>
      <c r="AV7" s="470" t="s">
        <v>62</v>
      </c>
    </row>
    <row r="8" spans="1:51" ht="13.15" customHeight="1" thickTop="1">
      <c r="A8" s="15" t="str">
        <f>'t1'!A6</f>
        <v>PERSONALE DIRIGENTE</v>
      </c>
      <c r="B8" s="210" t="str">
        <f>'t1'!B6</f>
        <v>0D00NF</v>
      </c>
      <c r="C8" s="669">
        <f t="shared" ref="C8:L9" si="0">ROUND(AA8,0)</f>
        <v>0</v>
      </c>
      <c r="D8" s="670">
        <f t="shared" si="0"/>
        <v>0</v>
      </c>
      <c r="E8" s="669">
        <f t="shared" si="0"/>
        <v>0</v>
      </c>
      <c r="F8" s="670">
        <f t="shared" si="0"/>
        <v>0</v>
      </c>
      <c r="G8" s="669">
        <f t="shared" si="0"/>
        <v>0</v>
      </c>
      <c r="H8" s="670">
        <f t="shared" si="0"/>
        <v>0</v>
      </c>
      <c r="I8" s="669">
        <f t="shared" si="0"/>
        <v>0</v>
      </c>
      <c r="J8" s="670">
        <f t="shared" si="0"/>
        <v>0</v>
      </c>
      <c r="K8" s="669">
        <f t="shared" si="0"/>
        <v>0</v>
      </c>
      <c r="L8" s="670">
        <f t="shared" si="0"/>
        <v>0</v>
      </c>
      <c r="M8" s="669">
        <f t="shared" ref="M8:N9" si="1">ROUND(AK8,0)</f>
        <v>0</v>
      </c>
      <c r="N8" s="670">
        <f t="shared" si="1"/>
        <v>0</v>
      </c>
      <c r="O8" s="671">
        <f t="shared" ref="O8:R9" si="2">ROUND(AM8,0)</f>
        <v>0</v>
      </c>
      <c r="P8" s="672">
        <f t="shared" si="2"/>
        <v>0</v>
      </c>
      <c r="Q8" s="671">
        <f t="shared" si="2"/>
        <v>0</v>
      </c>
      <c r="R8" s="672">
        <f t="shared" si="2"/>
        <v>0</v>
      </c>
      <c r="S8" s="671">
        <f t="shared" ref="S8:X9" si="3">ROUND(AQ8,0)</f>
        <v>0</v>
      </c>
      <c r="T8" s="673">
        <f t="shared" si="3"/>
        <v>0</v>
      </c>
      <c r="U8" s="671">
        <f t="shared" si="3"/>
        <v>0</v>
      </c>
      <c r="V8" s="673">
        <f t="shared" si="3"/>
        <v>0</v>
      </c>
      <c r="W8" s="513">
        <f t="shared" si="3"/>
        <v>0</v>
      </c>
      <c r="X8" s="514">
        <f t="shared" si="3"/>
        <v>0</v>
      </c>
      <c r="AA8" s="245"/>
      <c r="AB8" s="246"/>
      <c r="AC8" s="245"/>
      <c r="AD8" s="246"/>
      <c r="AE8" s="245"/>
      <c r="AF8" s="246"/>
      <c r="AG8" s="245"/>
      <c r="AH8" s="246"/>
      <c r="AI8" s="245"/>
      <c r="AJ8" s="246"/>
      <c r="AK8" s="245"/>
      <c r="AL8" s="246"/>
      <c r="AM8" s="511"/>
      <c r="AN8" s="508"/>
      <c r="AO8" s="511"/>
      <c r="AP8" s="508"/>
      <c r="AQ8" s="511"/>
      <c r="AR8" s="508"/>
      <c r="AS8" s="511"/>
      <c r="AT8" s="503"/>
      <c r="AU8" s="513">
        <f>SUM(AA8,AC8,AE8,AG8,AI8,AK8,AM8,AO8,AQ8,AS8)</f>
        <v>0</v>
      </c>
      <c r="AV8" s="514">
        <f>SUM(AB8,AD8,AF8,AH8,AJ8,AL8,AN8,AP8,AR8,AT8)</f>
        <v>0</v>
      </c>
    </row>
    <row r="9" spans="1:51" ht="13.15" customHeight="1" thickBot="1">
      <c r="A9" s="139" t="str">
        <f>'t1'!A7</f>
        <v>PERSONALE NON DIRIGENTE</v>
      </c>
      <c r="B9" s="203" t="str">
        <f>'t1'!B7</f>
        <v>0000ND</v>
      </c>
      <c r="C9" s="674">
        <f t="shared" si="0"/>
        <v>0</v>
      </c>
      <c r="D9" s="675">
        <f t="shared" si="0"/>
        <v>0</v>
      </c>
      <c r="E9" s="674">
        <f t="shared" si="0"/>
        <v>0</v>
      </c>
      <c r="F9" s="675">
        <f t="shared" si="0"/>
        <v>0</v>
      </c>
      <c r="G9" s="674">
        <f t="shared" si="0"/>
        <v>0</v>
      </c>
      <c r="H9" s="675">
        <f t="shared" si="0"/>
        <v>0</v>
      </c>
      <c r="I9" s="674">
        <f t="shared" si="0"/>
        <v>0</v>
      </c>
      <c r="J9" s="675">
        <f t="shared" si="0"/>
        <v>0</v>
      </c>
      <c r="K9" s="674">
        <f t="shared" si="0"/>
        <v>0</v>
      </c>
      <c r="L9" s="675">
        <f t="shared" si="0"/>
        <v>0</v>
      </c>
      <c r="M9" s="674">
        <f t="shared" si="1"/>
        <v>0</v>
      </c>
      <c r="N9" s="675">
        <f t="shared" si="1"/>
        <v>0</v>
      </c>
      <c r="O9" s="674">
        <f t="shared" si="2"/>
        <v>0</v>
      </c>
      <c r="P9" s="676">
        <f t="shared" si="2"/>
        <v>0</v>
      </c>
      <c r="Q9" s="674">
        <f t="shared" si="2"/>
        <v>0</v>
      </c>
      <c r="R9" s="676">
        <f t="shared" si="2"/>
        <v>0</v>
      </c>
      <c r="S9" s="674">
        <f t="shared" si="3"/>
        <v>0</v>
      </c>
      <c r="T9" s="677">
        <f t="shared" si="3"/>
        <v>0</v>
      </c>
      <c r="U9" s="674">
        <f t="shared" si="3"/>
        <v>0</v>
      </c>
      <c r="V9" s="677">
        <f t="shared" si="3"/>
        <v>0</v>
      </c>
      <c r="W9" s="469">
        <f t="shared" si="3"/>
        <v>0</v>
      </c>
      <c r="X9" s="471">
        <f t="shared" si="3"/>
        <v>0</v>
      </c>
      <c r="AA9" s="247"/>
      <c r="AB9" s="248"/>
      <c r="AC9" s="247"/>
      <c r="AD9" s="248"/>
      <c r="AE9" s="247"/>
      <c r="AF9" s="248"/>
      <c r="AG9" s="247"/>
      <c r="AH9" s="248"/>
      <c r="AI9" s="247"/>
      <c r="AJ9" s="248"/>
      <c r="AK9" s="247"/>
      <c r="AL9" s="248"/>
      <c r="AM9" s="247"/>
      <c r="AN9" s="509"/>
      <c r="AO9" s="247"/>
      <c r="AP9" s="509"/>
      <c r="AQ9" s="247"/>
      <c r="AR9" s="509"/>
      <c r="AS9" s="247"/>
      <c r="AT9" s="504"/>
      <c r="AU9" s="469">
        <f>SUM(AA9,AC9,AE9,AG9,AI9,AK9,AM9,AO9,AQ9,AS9)</f>
        <v>0</v>
      </c>
      <c r="AV9" s="471">
        <f>SUM(AB9,AD9,AF9,AH9,AJ9,AL9,AN9,AP9,AR9,AT9)</f>
        <v>0</v>
      </c>
    </row>
    <row r="10" spans="1:51" ht="13.15" customHeight="1" thickTop="1" thickBot="1">
      <c r="A10" s="23" t="s">
        <v>59</v>
      </c>
      <c r="B10" s="533"/>
      <c r="C10" s="421">
        <f t="shared" ref="C10:X10" si="4">SUM(C8:C9)</f>
        <v>0</v>
      </c>
      <c r="D10" s="422">
        <f t="shared" si="4"/>
        <v>0</v>
      </c>
      <c r="E10" s="421">
        <f t="shared" si="4"/>
        <v>0</v>
      </c>
      <c r="F10" s="422">
        <f t="shared" si="4"/>
        <v>0</v>
      </c>
      <c r="G10" s="421">
        <f t="shared" si="4"/>
        <v>0</v>
      </c>
      <c r="H10" s="422">
        <f t="shared" si="4"/>
        <v>0</v>
      </c>
      <c r="I10" s="421">
        <f t="shared" si="4"/>
        <v>0</v>
      </c>
      <c r="J10" s="422">
        <f t="shared" si="4"/>
        <v>0</v>
      </c>
      <c r="K10" s="421">
        <f t="shared" si="4"/>
        <v>0</v>
      </c>
      <c r="L10" s="422">
        <f t="shared" si="4"/>
        <v>0</v>
      </c>
      <c r="M10" s="421">
        <f t="shared" si="4"/>
        <v>0</v>
      </c>
      <c r="N10" s="422">
        <f t="shared" si="4"/>
        <v>0</v>
      </c>
      <c r="O10" s="421">
        <f t="shared" si="4"/>
        <v>0</v>
      </c>
      <c r="P10" s="510">
        <f t="shared" si="4"/>
        <v>0</v>
      </c>
      <c r="Q10" s="421">
        <f t="shared" si="4"/>
        <v>0</v>
      </c>
      <c r="R10" s="510">
        <f t="shared" si="4"/>
        <v>0</v>
      </c>
      <c r="S10" s="421">
        <f>SUM(S8:S9)</f>
        <v>0</v>
      </c>
      <c r="T10" s="505">
        <f>SUM(T8:T9)</f>
        <v>0</v>
      </c>
      <c r="U10" s="421">
        <f t="shared" si="4"/>
        <v>0</v>
      </c>
      <c r="V10" s="505">
        <f t="shared" si="4"/>
        <v>0</v>
      </c>
      <c r="W10" s="421">
        <f t="shared" si="4"/>
        <v>0</v>
      </c>
      <c r="X10" s="423">
        <f t="shared" si="4"/>
        <v>0</v>
      </c>
      <c r="AA10" s="421">
        <f t="shared" ref="AA10:AV10" si="5">SUM(AA8:AA9)</f>
        <v>0</v>
      </c>
      <c r="AB10" s="422">
        <f t="shared" si="5"/>
        <v>0</v>
      </c>
      <c r="AC10" s="421">
        <f t="shared" si="5"/>
        <v>0</v>
      </c>
      <c r="AD10" s="422">
        <f t="shared" si="5"/>
        <v>0</v>
      </c>
      <c r="AE10" s="421">
        <f t="shared" si="5"/>
        <v>0</v>
      </c>
      <c r="AF10" s="422">
        <f t="shared" si="5"/>
        <v>0</v>
      </c>
      <c r="AG10" s="421">
        <f t="shared" si="5"/>
        <v>0</v>
      </c>
      <c r="AH10" s="422">
        <f t="shared" si="5"/>
        <v>0</v>
      </c>
      <c r="AI10" s="421">
        <f t="shared" si="5"/>
        <v>0</v>
      </c>
      <c r="AJ10" s="422">
        <f t="shared" si="5"/>
        <v>0</v>
      </c>
      <c r="AK10" s="421">
        <f t="shared" si="5"/>
        <v>0</v>
      </c>
      <c r="AL10" s="422">
        <f t="shared" si="5"/>
        <v>0</v>
      </c>
      <c r="AM10" s="421">
        <f t="shared" si="5"/>
        <v>0</v>
      </c>
      <c r="AN10" s="510">
        <f t="shared" si="5"/>
        <v>0</v>
      </c>
      <c r="AO10" s="421">
        <f t="shared" si="5"/>
        <v>0</v>
      </c>
      <c r="AP10" s="510">
        <f t="shared" si="5"/>
        <v>0</v>
      </c>
      <c r="AQ10" s="421">
        <f>SUM(AQ8:AQ9)</f>
        <v>0</v>
      </c>
      <c r="AR10" s="510">
        <f>SUM(AR8:AR9)</f>
        <v>0</v>
      </c>
      <c r="AS10" s="421">
        <f t="shared" si="5"/>
        <v>0</v>
      </c>
      <c r="AT10" s="505">
        <f t="shared" si="5"/>
        <v>0</v>
      </c>
      <c r="AU10" s="421">
        <f t="shared" si="5"/>
        <v>0</v>
      </c>
      <c r="AV10" s="423">
        <f t="shared" si="5"/>
        <v>0</v>
      </c>
    </row>
    <row r="11" spans="1:51" ht="17.25" customHeight="1">
      <c r="A11" s="16"/>
      <c r="B11" s="2"/>
      <c r="C11" s="3"/>
      <c r="D11" s="3"/>
      <c r="E11" s="3"/>
      <c r="F11" s="3"/>
      <c r="G11" s="3"/>
      <c r="I11" s="3"/>
      <c r="AA11" s="3"/>
      <c r="AB11" s="3"/>
      <c r="AC11" s="3"/>
      <c r="AD11" s="3"/>
      <c r="AE11" s="3"/>
      <c r="AG11" s="3"/>
    </row>
    <row r="12" spans="1:51">
      <c r="A12" s="16"/>
    </row>
  </sheetData>
  <sheetProtection algorithmName="SHA-512" hashValue="dreVQMXusMynjY1zcKj55z3Ai0YJcsO2HuZglAVJpaZXC8epvt6Ew+WMIy+7j2nBmI8U4QcCI1RENiDCSLCN4A==" saltValue="4o9FoxrnntR0TU0QQin1pw==" spinCount="100000" sheet="1" formatColumns="0" selectLockedCells="1"/>
  <mergeCells count="43">
    <mergeCell ref="A1:AE1"/>
    <mergeCell ref="I4:J4"/>
    <mergeCell ref="I5:J5"/>
    <mergeCell ref="K4:L4"/>
    <mergeCell ref="I2:J2"/>
    <mergeCell ref="C5:D5"/>
    <mergeCell ref="G2:H2"/>
    <mergeCell ref="G4:H4"/>
    <mergeCell ref="G5:H5"/>
    <mergeCell ref="M4:N4"/>
    <mergeCell ref="M5:N5"/>
    <mergeCell ref="E5:F5"/>
    <mergeCell ref="E4:F4"/>
    <mergeCell ref="AE2:AF2"/>
    <mergeCell ref="Q5:R5"/>
    <mergeCell ref="U5:V5"/>
    <mergeCell ref="AQ5:AR5"/>
    <mergeCell ref="S4:T4"/>
    <mergeCell ref="S5:T5"/>
    <mergeCell ref="U4:V4"/>
    <mergeCell ref="AM5:AN5"/>
    <mergeCell ref="AO5:AP5"/>
    <mergeCell ref="AG2:AH2"/>
    <mergeCell ref="AC4:AD4"/>
    <mergeCell ref="AE4:AF4"/>
    <mergeCell ref="AG4:AH4"/>
    <mergeCell ref="AG5:AH5"/>
    <mergeCell ref="K5:L5"/>
    <mergeCell ref="AS5:AT5"/>
    <mergeCell ref="AK4:AL4"/>
    <mergeCell ref="AM4:AN4"/>
    <mergeCell ref="AO4:AP4"/>
    <mergeCell ref="AS4:AT4"/>
    <mergeCell ref="AA5:AB5"/>
    <mergeCell ref="AC5:AD5"/>
    <mergeCell ref="AE5:AF5"/>
    <mergeCell ref="AI5:AJ5"/>
    <mergeCell ref="AK5:AL5"/>
    <mergeCell ref="O4:P4"/>
    <mergeCell ref="AI4:AJ4"/>
    <mergeCell ref="O5:P5"/>
    <mergeCell ref="Q4:R4"/>
    <mergeCell ref="AQ4:AR4"/>
  </mergeCells>
  <phoneticPr fontId="29" type="noConversion"/>
  <printOptions horizontalCentered="1" verticalCentered="1"/>
  <pageMargins left="0" right="0" top="0.19685039370078741" bottom="0.15748031496062992" header="0.15748031496062992" footer="0.19685039370078741"/>
  <pageSetup paperSize="9" scale="7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9"/>
  <dimension ref="A1:AP10"/>
  <sheetViews>
    <sheetView showGridLines="0" tabSelected="1" zoomScaleNormal="100" workbookViewId="0">
      <pane xSplit="2" ySplit="5" topLeftCell="C6" activePane="bottomRight" state="frozen"/>
      <selection activeCell="A2" sqref="A2"/>
      <selection pane="topRight" activeCell="A2" sqref="A2"/>
      <selection pane="bottomLeft" activeCell="A2" sqref="A2"/>
      <selection pane="bottomRight" activeCell="AA6" sqref="AA6"/>
    </sheetView>
  </sheetViews>
  <sheetFormatPr defaultColWidth="9.33203125" defaultRowHeight="11.25"/>
  <cols>
    <col min="1" max="1" width="37.6640625" style="3" customWidth="1"/>
    <col min="2" max="2" width="11" style="2" customWidth="1"/>
    <col min="3" max="3" width="14.6640625" style="3" hidden="1" customWidth="1"/>
    <col min="4" max="11" width="16.6640625" style="3" hidden="1" customWidth="1"/>
    <col min="12" max="26" width="9.33203125" style="3" hidden="1" customWidth="1"/>
    <col min="27" max="27" width="14.6640625" style="3" customWidth="1"/>
    <col min="28" max="35" width="16.6640625" style="3" customWidth="1"/>
    <col min="36" max="36" width="0" style="3" hidden="1" customWidth="1"/>
    <col min="37" max="37" width="9.33203125" style="3"/>
    <col min="38" max="41" width="0" style="3" hidden="1" customWidth="1"/>
    <col min="42" max="42" width="39.6640625" style="3" customWidth="1"/>
    <col min="43" max="16384" width="9.33203125" style="3"/>
  </cols>
  <sheetData>
    <row r="1" spans="1:42" ht="33" customHeight="1">
      <c r="A1" s="912" t="str">
        <f>'t1'!A1</f>
        <v>Amministrazioni incluse nell'elenco ISTAT art. 1 c.3 legge 196/2009 (lista S13) - anno 2023</v>
      </c>
      <c r="B1" s="912"/>
      <c r="C1" s="912"/>
      <c r="D1" s="912"/>
      <c r="E1" s="912"/>
      <c r="F1" s="912"/>
      <c r="G1" s="912"/>
      <c r="H1" s="912"/>
      <c r="I1" s="912"/>
      <c r="J1" s="912"/>
      <c r="K1" s="912"/>
      <c r="L1" s="912"/>
      <c r="M1" s="912"/>
      <c r="N1" s="912"/>
      <c r="O1" s="912"/>
      <c r="P1" s="912"/>
      <c r="Q1" s="912"/>
      <c r="R1" s="912"/>
      <c r="S1" s="912"/>
      <c r="T1" s="912"/>
      <c r="U1" s="912"/>
      <c r="V1" s="912"/>
      <c r="W1" s="912"/>
      <c r="X1" s="912"/>
      <c r="Y1" s="912"/>
      <c r="Z1" s="912"/>
      <c r="AA1" s="912"/>
      <c r="AB1" s="912"/>
      <c r="AC1" s="912"/>
      <c r="AD1" s="912"/>
      <c r="AE1" s="912"/>
      <c r="AF1" s="912"/>
      <c r="AG1" s="912"/>
      <c r="AH1" s="912"/>
      <c r="AI1" s="912"/>
      <c r="AK1"/>
    </row>
    <row r="2" spans="1:42" ht="27" customHeight="1" thickBot="1">
      <c r="A2" s="5"/>
      <c r="I2" s="913"/>
      <c r="J2" s="913"/>
      <c r="K2" s="913"/>
      <c r="AG2" s="913"/>
      <c r="AH2" s="913"/>
      <c r="AI2" s="913"/>
    </row>
    <row r="3" spans="1:42" ht="12" thickBot="1">
      <c r="A3" s="6"/>
      <c r="B3" s="7"/>
      <c r="C3" s="115" t="s">
        <v>237</v>
      </c>
      <c r="D3" s="8"/>
      <c r="E3" s="8"/>
      <c r="F3" s="8"/>
      <c r="G3" s="8"/>
      <c r="H3" s="8"/>
      <c r="I3" s="8"/>
      <c r="J3" s="112"/>
      <c r="K3" s="112"/>
      <c r="AA3" s="115" t="s">
        <v>237</v>
      </c>
      <c r="AB3" s="8"/>
      <c r="AC3" s="8"/>
      <c r="AD3" s="8"/>
      <c r="AE3" s="8"/>
      <c r="AF3" s="8"/>
      <c r="AG3" s="8"/>
      <c r="AH3" s="112"/>
      <c r="AI3" s="112"/>
      <c r="AK3"/>
      <c r="AL3"/>
      <c r="AM3"/>
      <c r="AN3"/>
      <c r="AO3"/>
      <c r="AP3" s="745"/>
    </row>
    <row r="4" spans="1:42" ht="57" thickTop="1">
      <c r="A4" s="17" t="s">
        <v>128</v>
      </c>
      <c r="B4" s="113" t="s">
        <v>56</v>
      </c>
      <c r="C4" s="114" t="s">
        <v>165</v>
      </c>
      <c r="D4" s="114" t="s">
        <v>129</v>
      </c>
      <c r="E4" s="114" t="s">
        <v>391</v>
      </c>
      <c r="F4" s="711" t="s">
        <v>491</v>
      </c>
      <c r="G4" s="712" t="s">
        <v>554</v>
      </c>
      <c r="H4" s="114" t="s">
        <v>94</v>
      </c>
      <c r="I4" s="114" t="s">
        <v>164</v>
      </c>
      <c r="J4" s="114" t="s">
        <v>95</v>
      </c>
      <c r="K4" s="535" t="s">
        <v>59</v>
      </c>
      <c r="AA4" s="114" t="s">
        <v>165</v>
      </c>
      <c r="AB4" s="114" t="s">
        <v>129</v>
      </c>
      <c r="AC4" s="114" t="s">
        <v>391</v>
      </c>
      <c r="AD4" s="711" t="s">
        <v>491</v>
      </c>
      <c r="AE4" s="712" t="s">
        <v>554</v>
      </c>
      <c r="AF4" s="114" t="s">
        <v>94</v>
      </c>
      <c r="AG4" s="114" t="s">
        <v>164</v>
      </c>
      <c r="AH4" s="114" t="s">
        <v>95</v>
      </c>
      <c r="AI4" s="535" t="s">
        <v>59</v>
      </c>
      <c r="AK4" s="746" t="s">
        <v>509</v>
      </c>
      <c r="AL4" s="746"/>
      <c r="AM4" s="746"/>
      <c r="AN4" s="746"/>
      <c r="AO4" s="746"/>
      <c r="AP4" s="960" t="s">
        <v>510</v>
      </c>
    </row>
    <row r="5" spans="1:42" s="242" customFormat="1" ht="12.75" thickBot="1">
      <c r="A5" s="263"/>
      <c r="B5" s="264"/>
      <c r="C5" s="265" t="s">
        <v>373</v>
      </c>
      <c r="D5" s="265" t="s">
        <v>369</v>
      </c>
      <c r="E5" s="265" t="s">
        <v>392</v>
      </c>
      <c r="F5" s="265" t="s">
        <v>492</v>
      </c>
      <c r="G5" s="265" t="s">
        <v>493</v>
      </c>
      <c r="H5" s="265" t="s">
        <v>370</v>
      </c>
      <c r="I5" s="265" t="s">
        <v>371</v>
      </c>
      <c r="J5" s="265" t="s">
        <v>372</v>
      </c>
      <c r="K5" s="266"/>
      <c r="AA5" s="265" t="s">
        <v>373</v>
      </c>
      <c r="AB5" s="265" t="s">
        <v>369</v>
      </c>
      <c r="AC5" s="265" t="s">
        <v>392</v>
      </c>
      <c r="AD5" s="265" t="s">
        <v>492</v>
      </c>
      <c r="AE5" s="265" t="s">
        <v>493</v>
      </c>
      <c r="AF5" s="265" t="s">
        <v>370</v>
      </c>
      <c r="AG5" s="265" t="s">
        <v>371</v>
      </c>
      <c r="AH5" s="265" t="s">
        <v>372</v>
      </c>
      <c r="AI5" s="266"/>
      <c r="AK5" s="747">
        <f>COUNTIF($AP$6:$AP$7,"Incongruenza")</f>
        <v>0</v>
      </c>
      <c r="AL5" s="748" t="s">
        <v>93</v>
      </c>
      <c r="AM5" s="748"/>
      <c r="AN5" s="749" t="s">
        <v>511</v>
      </c>
      <c r="AO5" s="749" t="s">
        <v>512</v>
      </c>
      <c r="AP5" s="961"/>
    </row>
    <row r="6" spans="1:42" ht="12.75" customHeight="1" thickTop="1" thickBot="1">
      <c r="A6" s="15" t="str">
        <f>'t1'!A6</f>
        <v>PERSONALE DIRIGENTE</v>
      </c>
      <c r="B6" s="210" t="str">
        <f>'t1'!B6</f>
        <v>0D00NF</v>
      </c>
      <c r="C6" s="191">
        <f>ROUND(AA6,2)</f>
        <v>0</v>
      </c>
      <c r="D6" s="667">
        <f t="shared" ref="D6:J7" si="0">ROUND(AB6,0)</f>
        <v>0</v>
      </c>
      <c r="E6" s="667">
        <f t="shared" si="0"/>
        <v>0</v>
      </c>
      <c r="F6" s="667">
        <f t="shared" si="0"/>
        <v>0</v>
      </c>
      <c r="G6" s="667">
        <f t="shared" si="0"/>
        <v>0</v>
      </c>
      <c r="H6" s="667">
        <f t="shared" si="0"/>
        <v>0</v>
      </c>
      <c r="I6" s="667">
        <f t="shared" si="0"/>
        <v>0</v>
      </c>
      <c r="J6" s="678">
        <f t="shared" si="0"/>
        <v>0</v>
      </c>
      <c r="K6" s="388">
        <f>(D6+E6+F6+G6+H6+I6)-J6</f>
        <v>0</v>
      </c>
      <c r="AA6" s="191"/>
      <c r="AB6" s="189"/>
      <c r="AC6" s="189"/>
      <c r="AD6" s="189"/>
      <c r="AE6" s="189"/>
      <c r="AF6" s="189"/>
      <c r="AG6" s="189"/>
      <c r="AH6" s="190"/>
      <c r="AI6" s="713">
        <f>(AB6+AC6+AD6+AE6+AF6+AG6)-AH6</f>
        <v>0</v>
      </c>
      <c r="AK6"/>
      <c r="AL6" s="3" t="s">
        <v>514</v>
      </c>
      <c r="AM6" s="3" t="s">
        <v>513</v>
      </c>
      <c r="AN6" s="750" t="str">
        <f>IF($AL6="no",(IF($AD6&gt;0,"Incongruenza","OK")),(IF($AD6=0,"OK","ok")))</f>
        <v>OK</v>
      </c>
      <c r="AO6" s="751" t="str">
        <f>IF($AM6="no",(IF($AE6&gt;0,"Incongruenza","OK")),(IF($AE6=0,"OK","ok")))</f>
        <v>OK</v>
      </c>
      <c r="AP6" s="752" t="str">
        <f>IF(AND($AL6="no",$AM6="no",$AE6&gt;0),"Sono stati inseriti importi RIA e/o Progressioni",IF(AND($AL6="no",$AM6="no",$AD6&gt;0)," ",IF(OR($AN6="Incongruenza",$AO6="Incongruenza"),"Incongruenza"," ")))</f>
        <v xml:space="preserve"> </v>
      </c>
    </row>
    <row r="7" spans="1:42" ht="12" customHeight="1" thickBot="1">
      <c r="A7" s="139" t="str">
        <f>'t1'!A7</f>
        <v>PERSONALE NON DIRIGENTE</v>
      </c>
      <c r="B7" s="203" t="str">
        <f>'t1'!B7</f>
        <v>0000ND</v>
      </c>
      <c r="C7" s="191">
        <f>ROUND(AA7,2)</f>
        <v>0</v>
      </c>
      <c r="D7" s="667">
        <f t="shared" si="0"/>
        <v>0</v>
      </c>
      <c r="E7" s="667">
        <f t="shared" si="0"/>
        <v>0</v>
      </c>
      <c r="F7" s="667">
        <f t="shared" si="0"/>
        <v>0</v>
      </c>
      <c r="G7" s="667">
        <f t="shared" si="0"/>
        <v>0</v>
      </c>
      <c r="H7" s="667">
        <f t="shared" si="0"/>
        <v>0</v>
      </c>
      <c r="I7" s="667">
        <f t="shared" si="0"/>
        <v>0</v>
      </c>
      <c r="J7" s="678">
        <f t="shared" si="0"/>
        <v>0</v>
      </c>
      <c r="K7" s="388">
        <f>(D7+E7+F7+G7+H7+I7)-J7</f>
        <v>0</v>
      </c>
      <c r="AA7" s="191"/>
      <c r="AB7" s="189"/>
      <c r="AC7" s="189"/>
      <c r="AD7" s="189"/>
      <c r="AE7" s="189"/>
      <c r="AF7" s="189"/>
      <c r="AG7" s="189"/>
      <c r="AH7" s="190"/>
      <c r="AI7" s="714">
        <f>(AB7+AC7+AD7+AE7+AF7+AG7)-AH7</f>
        <v>0</v>
      </c>
      <c r="AL7" s="3" t="s">
        <v>514</v>
      </c>
      <c r="AM7" s="3" t="s">
        <v>513</v>
      </c>
      <c r="AN7" s="750" t="str">
        <f>IF($AL7="no",(IF($AD7&gt;0,"Incongruenza","OK")),(IF($AD7=0,"OK","ok")))</f>
        <v>OK</v>
      </c>
      <c r="AO7" s="751" t="str">
        <f>IF($AM7="no",(IF($AE7&gt;0,"Incongruenza","OK")),(IF($AE7=0,"OK","ok")))</f>
        <v>OK</v>
      </c>
      <c r="AP7" s="752" t="str">
        <f>IF(AND($AL7="no",$AM7="no",$AE7&gt;0),"Sono stati inseriti importi RIA e/o Progressioni",IF(AND($AL7="no",$AM7="no",$AD7&gt;0)," ",IF(OR($AN7="Incongruenza",$AO7="Incongruenza"),"Incongruenza"," ")))</f>
        <v xml:space="preserve"> </v>
      </c>
    </row>
    <row r="8" spans="1:42" ht="12" customHeight="1" thickTop="1" thickBot="1">
      <c r="A8" s="110" t="s">
        <v>59</v>
      </c>
      <c r="B8" s="111"/>
      <c r="C8" s="448">
        <f t="shared" ref="C8:K8" si="1">SUM(C6:C7)</f>
        <v>0</v>
      </c>
      <c r="D8" s="425">
        <f t="shared" si="1"/>
        <v>0</v>
      </c>
      <c r="E8" s="425">
        <f t="shared" si="1"/>
        <v>0</v>
      </c>
      <c r="F8" s="425">
        <f t="shared" si="1"/>
        <v>0</v>
      </c>
      <c r="G8" s="425">
        <f t="shared" si="1"/>
        <v>0</v>
      </c>
      <c r="H8" s="425">
        <f t="shared" si="1"/>
        <v>0</v>
      </c>
      <c r="I8" s="425">
        <f t="shared" si="1"/>
        <v>0</v>
      </c>
      <c r="J8" s="425">
        <f t="shared" si="1"/>
        <v>0</v>
      </c>
      <c r="K8" s="426">
        <f t="shared" si="1"/>
        <v>0</v>
      </c>
      <c r="AA8" s="448">
        <f t="shared" ref="AA8:AI8" si="2">SUM(AA6:AA7)</f>
        <v>0</v>
      </c>
      <c r="AB8" s="425">
        <f t="shared" si="2"/>
        <v>0</v>
      </c>
      <c r="AC8" s="425">
        <f t="shared" si="2"/>
        <v>0</v>
      </c>
      <c r="AD8" s="425">
        <f t="shared" si="2"/>
        <v>0</v>
      </c>
      <c r="AE8" s="425">
        <f t="shared" si="2"/>
        <v>0</v>
      </c>
      <c r="AF8" s="425">
        <f t="shared" si="2"/>
        <v>0</v>
      </c>
      <c r="AG8" s="425">
        <f t="shared" si="2"/>
        <v>0</v>
      </c>
      <c r="AH8" s="425">
        <f t="shared" si="2"/>
        <v>0</v>
      </c>
      <c r="AI8" s="426">
        <f t="shared" si="2"/>
        <v>0</v>
      </c>
    </row>
    <row r="9" spans="1:42">
      <c r="A9" s="3" t="s">
        <v>166</v>
      </c>
    </row>
    <row r="10" spans="1:42">
      <c r="A10" s="3" t="s">
        <v>167</v>
      </c>
    </row>
  </sheetData>
  <sheetProtection algorithmName="SHA-512" hashValue="9SMELPFbv4SBg5+1ZLk0QhhOoKHwXQ3GScwJ4jRhWpk5xVNQpVOQvvaRS2mKpgSTWWqTI7kWyG8iqFqIHmstqw==" saltValue="KV+xdT0ALqFvUk2DsUhZrQ==" spinCount="100000" sheet="1" formatColumns="0" selectLockedCells="1"/>
  <mergeCells count="4">
    <mergeCell ref="I2:K2"/>
    <mergeCell ref="AG2:AI2"/>
    <mergeCell ref="A1:AI1"/>
    <mergeCell ref="AP4:AP5"/>
  </mergeCells>
  <phoneticPr fontId="29" type="noConversion"/>
  <dataValidations count="2">
    <dataValidation type="decimal" allowBlank="1" showInputMessage="1" showErrorMessage="1" sqref="C6:C7 AA6:AA7" xr:uid="{00000000-0002-0000-0E00-000000000000}">
      <formula1>0</formula1>
      <formula2>99999999</formula2>
    </dataValidation>
    <dataValidation type="whole" allowBlank="1" showInputMessage="1" showErrorMessage="1" errorTitle="ERRORE NEL DATO IMMESSO" error="INSERIRE SOLO NUMERI INTERI" sqref="AB6:AH7" xr:uid="{00000000-0002-0000-0E00-000001000000}">
      <formula1>1</formula1>
      <formula2>999999999999</formula2>
    </dataValidation>
  </dataValidations>
  <printOptions horizontalCentered="1" verticalCentered="1"/>
  <pageMargins left="0" right="0" top="0.19685039370078741" bottom="0.15748031496062992" header="0.19685039370078741" footer="0.15748031496062992"/>
  <pageSetup paperSize="9" scale="80" orientation="landscape" horizontalDpi="300" verticalDpi="4294967292"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20"/>
  <dimension ref="A1:AJ11"/>
  <sheetViews>
    <sheetView showGridLines="0" zoomScaleNormal="100" workbookViewId="0">
      <pane xSplit="2" ySplit="5" topLeftCell="C6" activePane="bottomRight" state="frozen"/>
      <selection activeCell="A2" sqref="A2"/>
      <selection pane="topRight" activeCell="A2" sqref="A2"/>
      <selection pane="bottomLeft" activeCell="A2" sqref="A2"/>
      <selection pane="bottomRight" activeCell="AA6" sqref="AA6"/>
    </sheetView>
  </sheetViews>
  <sheetFormatPr defaultColWidth="9.33203125" defaultRowHeight="11.25"/>
  <cols>
    <col min="1" max="1" width="37" style="3" customWidth="1"/>
    <col min="2" max="2" width="8.6640625" style="2" customWidth="1"/>
    <col min="3" max="9" width="15.6640625" style="3" hidden="1" customWidth="1"/>
    <col min="10" max="26" width="9.33203125" style="3" hidden="1" customWidth="1"/>
    <col min="27" max="33" width="15.6640625" style="3" customWidth="1"/>
    <col min="34" max="16384" width="9.33203125" style="3"/>
  </cols>
  <sheetData>
    <row r="1" spans="1:36" ht="47.65" customHeight="1">
      <c r="A1" s="690" t="str">
        <f>'t1'!A1</f>
        <v>Amministrazioni incluse nell'elenco ISTAT art. 1 c.3 legge 196/2009 (lista S13) - anno 2023</v>
      </c>
      <c r="B1" s="690"/>
      <c r="C1" s="690"/>
      <c r="D1" s="690"/>
      <c r="E1" s="690"/>
      <c r="F1" s="690"/>
      <c r="G1" s="690"/>
      <c r="H1" s="690"/>
      <c r="I1" s="690"/>
    </row>
    <row r="2" spans="1:36" ht="27" customHeight="1" thickBot="1">
      <c r="A2" s="5"/>
      <c r="E2" s="99"/>
      <c r="F2" s="99"/>
      <c r="G2" s="99"/>
      <c r="H2" s="99"/>
      <c r="I2" s="430"/>
      <c r="AC2" s="99"/>
      <c r="AD2" s="99"/>
      <c r="AE2" s="99"/>
      <c r="AF2" s="99"/>
      <c r="AG2" s="430"/>
    </row>
    <row r="3" spans="1:36" customFormat="1" ht="12" thickBot="1">
      <c r="A3" s="6"/>
      <c r="B3" s="7"/>
      <c r="C3" s="289"/>
      <c r="D3" s="289"/>
      <c r="E3" s="93"/>
      <c r="F3" s="93"/>
      <c r="G3" s="93"/>
      <c r="H3" s="93"/>
      <c r="I3" s="97"/>
      <c r="AA3" s="289"/>
      <c r="AB3" s="289"/>
      <c r="AC3" s="93"/>
      <c r="AD3" s="93"/>
      <c r="AE3" s="93"/>
      <c r="AF3" s="93"/>
      <c r="AG3" s="97"/>
    </row>
    <row r="4" spans="1:36" ht="48" customHeight="1" thickTop="1">
      <c r="A4" s="267" t="s">
        <v>128</v>
      </c>
      <c r="B4" s="268" t="s">
        <v>56</v>
      </c>
      <c r="C4" s="653" t="s">
        <v>399</v>
      </c>
      <c r="D4" s="653" t="s">
        <v>302</v>
      </c>
      <c r="E4" s="525" t="s">
        <v>397</v>
      </c>
      <c r="F4" s="525" t="s">
        <v>278</v>
      </c>
      <c r="G4" s="525" t="s">
        <v>313</v>
      </c>
      <c r="H4" s="525" t="s">
        <v>279</v>
      </c>
      <c r="I4" s="107" t="s">
        <v>139</v>
      </c>
      <c r="AA4" s="653" t="s">
        <v>399</v>
      </c>
      <c r="AB4" s="653" t="s">
        <v>302</v>
      </c>
      <c r="AC4" s="525" t="s">
        <v>397</v>
      </c>
      <c r="AD4" s="525" t="s">
        <v>278</v>
      </c>
      <c r="AE4" s="525" t="s">
        <v>313</v>
      </c>
      <c r="AF4" s="525" t="s">
        <v>279</v>
      </c>
      <c r="AG4" s="107" t="s">
        <v>139</v>
      </c>
    </row>
    <row r="5" spans="1:36" ht="14.25" customHeight="1" thickBot="1">
      <c r="A5" s="123"/>
      <c r="B5" s="108"/>
      <c r="C5" s="431" t="s">
        <v>400</v>
      </c>
      <c r="D5" s="431" t="s">
        <v>401</v>
      </c>
      <c r="E5" s="432" t="s">
        <v>398</v>
      </c>
      <c r="F5" s="432" t="s">
        <v>259</v>
      </c>
      <c r="G5" s="432" t="s">
        <v>454</v>
      </c>
      <c r="H5" s="432" t="s">
        <v>260</v>
      </c>
      <c r="I5" s="109" t="s">
        <v>93</v>
      </c>
      <c r="AA5" s="431" t="s">
        <v>400</v>
      </c>
      <c r="AB5" s="431" t="s">
        <v>401</v>
      </c>
      <c r="AC5" s="432" t="s">
        <v>398</v>
      </c>
      <c r="AD5" s="432" t="s">
        <v>259</v>
      </c>
      <c r="AE5" s="432" t="s">
        <v>454</v>
      </c>
      <c r="AF5" s="432" t="s">
        <v>260</v>
      </c>
      <c r="AG5" s="109" t="s">
        <v>93</v>
      </c>
    </row>
    <row r="6" spans="1:36" ht="12.75" customHeight="1" thickTop="1">
      <c r="A6" s="15" t="str">
        <f>'t1'!A6</f>
        <v>PERSONALE DIRIGENTE</v>
      </c>
      <c r="B6" s="210" t="str">
        <f>'t1'!B6</f>
        <v>0D00NF</v>
      </c>
      <c r="C6" s="679">
        <f t="shared" ref="C6:E7" si="0">ROUND(AA6,0)</f>
        <v>0</v>
      </c>
      <c r="D6" s="667">
        <f t="shared" si="0"/>
        <v>0</v>
      </c>
      <c r="E6" s="680">
        <f t="shared" si="0"/>
        <v>0</v>
      </c>
      <c r="F6" s="680">
        <f t="shared" ref="F6:H7" si="1">ROUND(AD6,0)</f>
        <v>0</v>
      </c>
      <c r="G6" s="680">
        <f t="shared" si="1"/>
        <v>0</v>
      </c>
      <c r="H6" s="680">
        <f t="shared" si="1"/>
        <v>0</v>
      </c>
      <c r="I6" s="428">
        <f>SUM(C6:H6)</f>
        <v>0</v>
      </c>
      <c r="AA6" s="189"/>
      <c r="AB6" s="189"/>
      <c r="AC6" s="192"/>
      <c r="AD6" s="192"/>
      <c r="AE6" s="192"/>
      <c r="AF6" s="192"/>
      <c r="AG6" s="428">
        <f>SUM(AA6:AF6)</f>
        <v>0</v>
      </c>
    </row>
    <row r="7" spans="1:36" ht="12.75" customHeight="1" thickBot="1">
      <c r="A7" s="139" t="str">
        <f>'t1'!A7</f>
        <v>PERSONALE NON DIRIGENTE</v>
      </c>
      <c r="B7" s="203" t="str">
        <f>'t1'!B7</f>
        <v>0000ND</v>
      </c>
      <c r="C7" s="679">
        <f t="shared" si="0"/>
        <v>0</v>
      </c>
      <c r="D7" s="667">
        <f t="shared" si="0"/>
        <v>0</v>
      </c>
      <c r="E7" s="680">
        <f t="shared" si="0"/>
        <v>0</v>
      </c>
      <c r="F7" s="680">
        <f t="shared" si="1"/>
        <v>0</v>
      </c>
      <c r="G7" s="680">
        <f t="shared" si="1"/>
        <v>0</v>
      </c>
      <c r="H7" s="680">
        <f t="shared" si="1"/>
        <v>0</v>
      </c>
      <c r="I7" s="428">
        <f>SUM(C7:H7)</f>
        <v>0</v>
      </c>
      <c r="AA7" s="189"/>
      <c r="AB7" s="189"/>
      <c r="AC7" s="192"/>
      <c r="AD7" s="192"/>
      <c r="AE7" s="192"/>
      <c r="AF7" s="192"/>
      <c r="AG7" s="428">
        <f>SUM(AA7:AF7)</f>
        <v>0</v>
      </c>
    </row>
    <row r="8" spans="1:36" ht="15" customHeight="1" thickTop="1" thickBot="1">
      <c r="A8" s="147" t="s">
        <v>59</v>
      </c>
      <c r="B8" s="111"/>
      <c r="C8" s="427">
        <f>SUM(C6:C7)</f>
        <v>0</v>
      </c>
      <c r="D8" s="427">
        <f t="shared" ref="D8:I8" si="2">SUM(D6:D7)</f>
        <v>0</v>
      </c>
      <c r="E8" s="427">
        <f t="shared" si="2"/>
        <v>0</v>
      </c>
      <c r="F8" s="427">
        <f t="shared" si="2"/>
        <v>0</v>
      </c>
      <c r="G8" s="427">
        <f t="shared" si="2"/>
        <v>0</v>
      </c>
      <c r="H8" s="427">
        <f t="shared" si="2"/>
        <v>0</v>
      </c>
      <c r="I8" s="426">
        <f t="shared" si="2"/>
        <v>0</v>
      </c>
      <c r="AA8" s="427">
        <f t="shared" ref="AA8:AG8" si="3">SUM(AA6:AA7)</f>
        <v>0</v>
      </c>
      <c r="AB8" s="427">
        <f t="shared" si="3"/>
        <v>0</v>
      </c>
      <c r="AC8" s="427">
        <f t="shared" si="3"/>
        <v>0</v>
      </c>
      <c r="AD8" s="427">
        <f t="shared" si="3"/>
        <v>0</v>
      </c>
      <c r="AE8" s="427">
        <f t="shared" si="3"/>
        <v>0</v>
      </c>
      <c r="AF8" s="427">
        <f t="shared" si="3"/>
        <v>0</v>
      </c>
      <c r="AG8" s="426">
        <f t="shared" si="3"/>
        <v>0</v>
      </c>
    </row>
    <row r="9" spans="1:36">
      <c r="A9" s="3" t="s">
        <v>166</v>
      </c>
      <c r="B9" s="53"/>
      <c r="C9" s="51"/>
      <c r="D9" s="51"/>
      <c r="E9" s="51"/>
      <c r="F9" s="51"/>
      <c r="G9" s="51"/>
      <c r="H9" s="51"/>
      <c r="I9" s="51"/>
      <c r="J9" s="51"/>
      <c r="K9" s="51"/>
      <c r="L9" s="51"/>
      <c r="M9" s="51"/>
      <c r="N9" s="51"/>
      <c r="AA9" s="51"/>
      <c r="AB9" s="51"/>
      <c r="AC9" s="51"/>
      <c r="AD9" s="51"/>
      <c r="AE9" s="51"/>
      <c r="AF9" s="51"/>
      <c r="AG9" s="51"/>
      <c r="AH9" s="51"/>
      <c r="AI9" s="51"/>
      <c r="AJ9" s="51"/>
    </row>
    <row r="10" spans="1:36">
      <c r="A10" s="4"/>
    </row>
    <row r="11" spans="1:36">
      <c r="A11" s="4"/>
    </row>
  </sheetData>
  <sheetProtection algorithmName="SHA-512" hashValue="al7gg+rCvuYOuZLc9XE8Enh5GT55ynaG0AG/l6f/yOxEPvHoMKwZgswPyFg2aX5ne/U1aYfPLA+v8JBrAkdNhg==" saltValue="/26SppICaeuBc8NPppzlYw==" spinCount="100000" sheet="1" formatColumns="0" selectLockedCells="1"/>
  <phoneticPr fontId="29" type="noConversion"/>
  <dataValidations count="1">
    <dataValidation type="whole" allowBlank="1" showInputMessage="1" showErrorMessage="1" errorTitle="ERRORE NEL DATO IMMESSO" error="INSERIRE SOLO NUMERI INTERI" sqref="AA6:AF7" xr:uid="{00000000-0002-0000-0F00-000000000000}">
      <formula1>1</formula1>
      <formula2>999999999999</formula2>
    </dataValidation>
  </dataValidations>
  <printOptions horizontalCentered="1" verticalCentered="1"/>
  <pageMargins left="0" right="0" top="0.15748031496062992" bottom="0.15748031496062992" header="0.19685039370078741" footer="0.19685039370078741"/>
  <pageSetup paperSize="9" scale="75" orientation="landscape" horizontalDpi="300" verticalDpi="4294967292" r:id="rId1"/>
  <headerFooter alignWithMargins="0"/>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21"/>
  <dimension ref="A1:N38"/>
  <sheetViews>
    <sheetView showGridLines="0" workbookViewId="0">
      <pane ySplit="3" topLeftCell="A4" activePane="bottomLeft" state="frozen"/>
      <selection activeCell="A2" sqref="A2"/>
      <selection pane="bottomLeft" activeCell="D4" sqref="D4"/>
    </sheetView>
  </sheetViews>
  <sheetFormatPr defaultRowHeight="11.25"/>
  <cols>
    <col min="1" max="1" width="87.6640625" customWidth="1"/>
    <col min="2" max="2" width="18" customWidth="1"/>
    <col min="3" max="3" width="18" hidden="1" customWidth="1"/>
    <col min="4" max="4" width="23" customWidth="1"/>
    <col min="6" max="6" width="12.5" bestFit="1" customWidth="1"/>
    <col min="7" max="7" width="0" hidden="1" customWidth="1"/>
  </cols>
  <sheetData>
    <row r="1" spans="1:14" s="3" customFormat="1" ht="43.5" customHeight="1">
      <c r="A1" s="912" t="str">
        <f>'t1'!A1</f>
        <v>Amministrazioni incluse nell'elenco ISTAT art. 1 c.3 legge 196/2009 (lista S13) - anno 2023</v>
      </c>
      <c r="B1" s="912"/>
      <c r="C1" s="912"/>
      <c r="D1" s="912"/>
      <c r="H1" s="4"/>
      <c r="N1"/>
    </row>
    <row r="2" spans="1:14" ht="30" customHeight="1" thickBot="1">
      <c r="A2" s="5"/>
      <c r="B2" s="969" t="str">
        <f>IF(AND(A32="",(D25+D26+D27+D28+D29)&gt;0),"ATTENZIONE!  Inserire nel campo NOTE l'elenco delle Istituzioni ed il relativo importo dei rimborsi",IF(AND(A32&lt;&gt;"",(D25+D26+D27+D28+D29)=0),"ATTENZIONE!  il campo NOTE non deve essere compilato in assenza di rimborsi",""))</f>
        <v/>
      </c>
      <c r="C2" s="969"/>
      <c r="D2" s="969"/>
    </row>
    <row r="3" spans="1:14" ht="21.75" customHeight="1" thickBot="1">
      <c r="A3" s="100" t="s">
        <v>114</v>
      </c>
      <c r="B3" s="269" t="s">
        <v>87</v>
      </c>
      <c r="C3" s="681"/>
      <c r="D3" s="270" t="s">
        <v>89</v>
      </c>
    </row>
    <row r="4" spans="1:14" s="102" customFormat="1" ht="23.25" customHeight="1" thickTop="1">
      <c r="A4" s="101" t="s">
        <v>136</v>
      </c>
      <c r="B4" s="153" t="s">
        <v>140</v>
      </c>
      <c r="C4" s="682">
        <f>ROUND(D4,0)</f>
        <v>0</v>
      </c>
      <c r="D4" s="193"/>
    </row>
    <row r="5" spans="1:14" s="102" customFormat="1" ht="23.25" customHeight="1">
      <c r="A5" s="104" t="s">
        <v>337</v>
      </c>
      <c r="B5" s="154" t="s">
        <v>152</v>
      </c>
      <c r="C5" s="683">
        <f t="shared" ref="C5:C29" si="0">ROUND(D5,0)</f>
        <v>0</v>
      </c>
      <c r="D5" s="193"/>
    </row>
    <row r="6" spans="1:14" s="102" customFormat="1" ht="23.25" customHeight="1">
      <c r="A6" s="104" t="s">
        <v>130</v>
      </c>
      <c r="B6" s="144" t="s">
        <v>153</v>
      </c>
      <c r="C6" s="682">
        <f t="shared" si="0"/>
        <v>0</v>
      </c>
      <c r="D6" s="193"/>
    </row>
    <row r="7" spans="1:14" s="102" customFormat="1" ht="23.25" customHeight="1">
      <c r="A7" s="104" t="s">
        <v>134</v>
      </c>
      <c r="B7" s="155" t="s">
        <v>154</v>
      </c>
      <c r="C7" s="683">
        <f t="shared" si="0"/>
        <v>0</v>
      </c>
      <c r="D7" s="193"/>
    </row>
    <row r="8" spans="1:14" s="102" customFormat="1" ht="23.25" customHeight="1">
      <c r="A8" s="105" t="s">
        <v>133</v>
      </c>
      <c r="B8" s="144" t="s">
        <v>155</v>
      </c>
      <c r="C8" s="682">
        <f t="shared" si="0"/>
        <v>0</v>
      </c>
      <c r="D8" s="193"/>
    </row>
    <row r="9" spans="1:14" s="102" customFormat="1" ht="23.25" customHeight="1">
      <c r="A9" s="124" t="s">
        <v>132</v>
      </c>
      <c r="B9" s="155" t="s">
        <v>156</v>
      </c>
      <c r="C9" s="683">
        <f t="shared" si="0"/>
        <v>0</v>
      </c>
      <c r="D9" s="194"/>
    </row>
    <row r="10" spans="1:14" s="102" customFormat="1" ht="23.25" customHeight="1">
      <c r="A10" s="156" t="s">
        <v>338</v>
      </c>
      <c r="B10" s="144" t="s">
        <v>144</v>
      </c>
      <c r="C10" s="682">
        <f t="shared" si="0"/>
        <v>0</v>
      </c>
      <c r="D10" s="193"/>
    </row>
    <row r="11" spans="1:14" s="102" customFormat="1" ht="23.25" customHeight="1">
      <c r="A11" s="105" t="s">
        <v>157</v>
      </c>
      <c r="B11" s="143" t="s">
        <v>158</v>
      </c>
      <c r="C11" s="682">
        <f t="shared" si="0"/>
        <v>0</v>
      </c>
      <c r="D11" s="193"/>
    </row>
    <row r="12" spans="1:14" s="102" customFormat="1" ht="23.25" customHeight="1">
      <c r="A12" s="105" t="s">
        <v>552</v>
      </c>
      <c r="B12" s="648" t="s">
        <v>550</v>
      </c>
      <c r="C12" s="682">
        <f t="shared" si="0"/>
        <v>0</v>
      </c>
      <c r="D12" s="193"/>
    </row>
    <row r="13" spans="1:14" s="102" customFormat="1" ht="23.25" customHeight="1">
      <c r="A13" s="105" t="s">
        <v>553</v>
      </c>
      <c r="B13" s="824" t="s">
        <v>551</v>
      </c>
      <c r="C13" s="682">
        <f t="shared" si="0"/>
        <v>0</v>
      </c>
      <c r="D13" s="193"/>
    </row>
    <row r="14" spans="1:14" s="102" customFormat="1" ht="23.25" customHeight="1">
      <c r="A14" s="105" t="s">
        <v>2</v>
      </c>
      <c r="B14" s="144" t="s">
        <v>3</v>
      </c>
      <c r="C14" s="682">
        <f t="shared" si="0"/>
        <v>0</v>
      </c>
      <c r="D14" s="193"/>
    </row>
    <row r="15" spans="1:14" s="102" customFormat="1" ht="23.25" customHeight="1">
      <c r="A15" s="124" t="s">
        <v>91</v>
      </c>
      <c r="B15" s="155" t="s">
        <v>159</v>
      </c>
      <c r="C15" s="683">
        <f t="shared" si="0"/>
        <v>0</v>
      </c>
      <c r="D15" s="194"/>
    </row>
    <row r="16" spans="1:14" s="102" customFormat="1" ht="23.25" customHeight="1">
      <c r="A16" s="156" t="s">
        <v>339</v>
      </c>
      <c r="B16" s="154" t="s">
        <v>141</v>
      </c>
      <c r="C16" s="684">
        <f t="shared" si="0"/>
        <v>0</v>
      </c>
      <c r="D16" s="194"/>
    </row>
    <row r="17" spans="1:8" s="102" customFormat="1" ht="23.25" customHeight="1">
      <c r="A17" s="106" t="s">
        <v>340</v>
      </c>
      <c r="B17" s="144" t="s">
        <v>142</v>
      </c>
      <c r="C17" s="682">
        <f t="shared" si="0"/>
        <v>0</v>
      </c>
      <c r="D17" s="193"/>
    </row>
    <row r="18" spans="1:8" ht="23.25" customHeight="1">
      <c r="A18" s="103" t="s">
        <v>131</v>
      </c>
      <c r="B18" s="143" t="s">
        <v>151</v>
      </c>
      <c r="C18" s="682">
        <f t="shared" si="0"/>
        <v>0</v>
      </c>
      <c r="D18" s="194"/>
    </row>
    <row r="19" spans="1:8" ht="23.25" customHeight="1">
      <c r="A19" s="647" t="s">
        <v>443</v>
      </c>
      <c r="B19" s="648" t="s">
        <v>444</v>
      </c>
      <c r="C19" s="685">
        <f t="shared" si="0"/>
        <v>0</v>
      </c>
      <c r="D19" s="193"/>
    </row>
    <row r="20" spans="1:8" s="3" customFormat="1" ht="23.25" customHeight="1">
      <c r="A20" s="101" t="s">
        <v>341</v>
      </c>
      <c r="B20" s="144" t="s">
        <v>147</v>
      </c>
      <c r="C20" s="682">
        <f t="shared" si="0"/>
        <v>0</v>
      </c>
      <c r="D20" s="193"/>
      <c r="G20" s="4" t="s">
        <v>445</v>
      </c>
    </row>
    <row r="21" spans="1:8" ht="23.25" customHeight="1">
      <c r="A21" s="101" t="s">
        <v>342</v>
      </c>
      <c r="B21" s="155" t="s">
        <v>148</v>
      </c>
      <c r="C21" s="683">
        <f t="shared" si="0"/>
        <v>0</v>
      </c>
      <c r="D21" s="193"/>
      <c r="G21" s="649" t="s">
        <v>446</v>
      </c>
    </row>
    <row r="22" spans="1:8" ht="23.25" customHeight="1">
      <c r="A22" s="101" t="s">
        <v>90</v>
      </c>
      <c r="B22" s="144" t="s">
        <v>149</v>
      </c>
      <c r="C22" s="682">
        <f t="shared" si="0"/>
        <v>0</v>
      </c>
      <c r="D22" s="193"/>
      <c r="F22" s="650" t="s">
        <v>447</v>
      </c>
      <c r="G22" s="651">
        <v>2</v>
      </c>
    </row>
    <row r="23" spans="1:8" ht="23.25" customHeight="1">
      <c r="A23" s="101" t="s">
        <v>343</v>
      </c>
      <c r="B23" s="155" t="s">
        <v>143</v>
      </c>
      <c r="C23" s="683">
        <f t="shared" si="0"/>
        <v>0</v>
      </c>
      <c r="D23" s="193"/>
    </row>
    <row r="24" spans="1:8" ht="23.25" customHeight="1">
      <c r="A24" s="657" t="s">
        <v>457</v>
      </c>
      <c r="B24" s="144" t="s">
        <v>145</v>
      </c>
      <c r="C24" s="686">
        <f t="shared" si="0"/>
        <v>0</v>
      </c>
      <c r="D24" s="195"/>
    </row>
    <row r="25" spans="1:8" ht="23.25" customHeight="1">
      <c r="A25" s="157" t="s">
        <v>355</v>
      </c>
      <c r="B25" s="143" t="s">
        <v>146</v>
      </c>
      <c r="C25" s="687">
        <f t="shared" si="0"/>
        <v>0</v>
      </c>
      <c r="D25" s="195"/>
    </row>
    <row r="26" spans="1:8" ht="23.25" customHeight="1">
      <c r="A26" s="157" t="s">
        <v>356</v>
      </c>
      <c r="B26" s="143" t="s">
        <v>357</v>
      </c>
      <c r="C26" s="687">
        <f t="shared" si="0"/>
        <v>0</v>
      </c>
      <c r="D26" s="195"/>
    </row>
    <row r="27" spans="1:8" ht="23.25" customHeight="1">
      <c r="A27" s="544" t="s">
        <v>381</v>
      </c>
      <c r="B27" s="143" t="s">
        <v>344</v>
      </c>
      <c r="C27" s="687">
        <f t="shared" si="0"/>
        <v>0</v>
      </c>
      <c r="D27" s="195"/>
    </row>
    <row r="28" spans="1:8" ht="23.25" customHeight="1">
      <c r="A28" s="543" t="s">
        <v>380</v>
      </c>
      <c r="B28" s="144" t="s">
        <v>150</v>
      </c>
      <c r="C28" s="688">
        <f t="shared" si="0"/>
        <v>0</v>
      </c>
      <c r="D28" s="194"/>
    </row>
    <row r="29" spans="1:8" ht="23.25" customHeight="1" thickBot="1">
      <c r="A29" s="545" t="s">
        <v>382</v>
      </c>
      <c r="B29" s="145" t="s">
        <v>358</v>
      </c>
      <c r="C29" s="689">
        <f t="shared" si="0"/>
        <v>0</v>
      </c>
      <c r="D29" s="196"/>
    </row>
    <row r="30" spans="1:8" ht="15" customHeight="1" thickBot="1">
      <c r="A30" s="965" t="str">
        <f>IF(G22=1,"ATTENZIONE è stata dichiarata IRAP commerciale. Controllare l'importo inserito!"," ")</f>
        <v xml:space="preserve"> </v>
      </c>
      <c r="B30" s="965"/>
      <c r="C30" s="965"/>
      <c r="D30" s="965"/>
    </row>
    <row r="31" spans="1:8" ht="15" customHeight="1">
      <c r="A31" s="970" t="s">
        <v>432</v>
      </c>
      <c r="B31" s="971"/>
      <c r="C31" s="971"/>
      <c r="D31" s="972"/>
    </row>
    <row r="32" spans="1:8" ht="95.1" customHeight="1" thickBot="1">
      <c r="A32" s="966"/>
      <c r="B32" s="967"/>
      <c r="C32" s="967"/>
      <c r="D32" s="968"/>
      <c r="E32" s="963" t="str">
        <f>IF(AND(A32="",(D25+D26)&gt;0),"ATTENZIONE!  Inserire nel campo NOTE l'elenco delle Istituzioni ed il relativo importo dei rimborsi EFFETTUATI!",IF(AND(A32&lt;&gt;"",(D25+D26)=0),"ATTENZIONE!  il campo NOTE non deve essere compilato in assenza di rimborsi",""))</f>
        <v/>
      </c>
      <c r="F32" s="964"/>
      <c r="G32" s="964"/>
      <c r="H32" s="964"/>
    </row>
    <row r="33" spans="1:8" ht="15" customHeight="1" thickBot="1">
      <c r="A33" s="965"/>
      <c r="B33" s="965"/>
      <c r="C33" s="965"/>
      <c r="D33" s="965"/>
    </row>
    <row r="34" spans="1:8" ht="15" customHeight="1">
      <c r="A34" s="970" t="s">
        <v>433</v>
      </c>
      <c r="B34" s="971"/>
      <c r="C34" s="971"/>
      <c r="D34" s="972"/>
    </row>
    <row r="35" spans="1:8" ht="95.1" customHeight="1" thickBot="1">
      <c r="A35" s="966"/>
      <c r="B35" s="967"/>
      <c r="C35" s="967"/>
      <c r="D35" s="968"/>
      <c r="E35" s="963" t="str">
        <f>IF(AND(A35="",(D27+D28+D29)&gt;0),"ATTENZIONE!  Inserire nel campo NOTE l'elenco delle Istituzioni ed il relativo importo dei rimborsi RICEVUTI!",IF(AND(A35&lt;&gt;"",(D27+D28+D29)=0),"ATTENZIONE!  il campo NOTE non deve essere compilato in assenza di rimborsi",""))</f>
        <v/>
      </c>
      <c r="F35" s="964"/>
      <c r="G35" s="964"/>
      <c r="H35" s="964"/>
    </row>
    <row r="36" spans="1:8" ht="23.25" customHeight="1">
      <c r="A36" s="3" t="s">
        <v>383</v>
      </c>
    </row>
    <row r="37" spans="1:8" ht="25.5" customHeight="1">
      <c r="A37" s="962" t="s">
        <v>434</v>
      </c>
      <c r="B37" s="962"/>
      <c r="C37" s="962"/>
      <c r="D37" s="962"/>
    </row>
    <row r="38" spans="1:8" ht="25.5" customHeight="1">
      <c r="A38" s="962" t="s">
        <v>435</v>
      </c>
      <c r="B38" s="962"/>
      <c r="C38" s="962"/>
      <c r="D38" s="962"/>
    </row>
  </sheetData>
  <sheetProtection algorithmName="SHA-512" hashValue="kJmWgSggyoQMuFMBATBsAZ/aTpprtAQM+2KuY1QCEwbG8FbaRfU7SDnmaAdxhdEyhJutOxMbQ9g5uEUtiDOBWA==" saltValue="EMZZDKKBem8hLfOQjv9ZMA==" spinCount="100000" sheet="1" formatColumns="0" selectLockedCells="1"/>
  <mergeCells count="12">
    <mergeCell ref="B2:D2"/>
    <mergeCell ref="A32:D32"/>
    <mergeCell ref="A31:D31"/>
    <mergeCell ref="A34:D34"/>
    <mergeCell ref="A1:D1"/>
    <mergeCell ref="A30:D30"/>
    <mergeCell ref="A38:D38"/>
    <mergeCell ref="E32:H32"/>
    <mergeCell ref="A33:D33"/>
    <mergeCell ref="A35:D35"/>
    <mergeCell ref="E35:H35"/>
    <mergeCell ref="A37:D37"/>
  </mergeCells>
  <phoneticPr fontId="29" type="noConversion"/>
  <dataValidations count="4">
    <dataValidation type="textLength" allowBlank="1" showInputMessage="1" showErrorMessage="1" errorTitle="ATTENZIONE ! ! ! " error="E' stato superato il limite di 1000 caratteri" sqref="A32:D32 A35:D35" xr:uid="{00000000-0002-0000-1000-000000000000}">
      <formula1>0</formula1>
      <formula2>1000</formula2>
    </dataValidation>
    <dataValidation type="whole" allowBlank="1" showInputMessage="1" showErrorMessage="1" errorTitle="ERRORE NEL DATO IMMESSO" error="INSERIRE SOLO NUMERI INTERI" sqref="D4:D24" xr:uid="{00000000-0002-0000-1000-000001000000}">
      <formula1>1</formula1>
      <formula2>999999999999</formula2>
    </dataValidation>
    <dataValidation type="whole" allowBlank="1" showInputMessage="1" showErrorMessage="1" errorTitle="ERRORE NEL DATO IMMESSO" error="INSERIRE SOLO NUMERI INTERI" promptTitle="ATTENZIONE" prompt="Inserire nel campo NOTE sottostante il nome delle Istituzioni da cui si ricevono i rimborsi ed i relativi importi" sqref="D27:D29" xr:uid="{00000000-0002-0000-1000-000002000000}">
      <formula1>1</formula1>
      <formula2>999999999999</formula2>
    </dataValidation>
    <dataValidation type="whole" allowBlank="1" showInputMessage="1" showErrorMessage="1" errorTitle="ERRORE NEL DATO IMMESSO" error="INSERIRE SOLO NUMERI INTERI" promptTitle="ATTENZIONE" prompt="Inserire nel campo NOTE sottostante il nome delle Istituzioni che ricevono i rimborsi ed i relativi importi" sqref="D25:D26" xr:uid="{00000000-0002-0000-1000-000003000000}">
      <formula1>1</formula1>
      <formula2>999999999999</formula2>
    </dataValidation>
  </dataValidations>
  <printOptions horizontalCentered="1" verticalCentered="1"/>
  <pageMargins left="0" right="0" top="0.19685039370078741" bottom="0.15748031496062992" header="0.19685039370078741" footer="0.19685039370078741"/>
  <pageSetup paperSize="9" scale="85" orientation="portrait" horizontalDpi="300" verticalDpi="4294967292"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2912" r:id="rId4" name="Drop Down 928">
              <controlPr defaultSize="0" autoLine="0" autoPict="0" altText="No">
                <anchor moveWithCells="1">
                  <from>
                    <xdr:col>4</xdr:col>
                    <xdr:colOff>38100</xdr:colOff>
                    <xdr:row>21</xdr:row>
                    <xdr:rowOff>66675</xdr:rowOff>
                  </from>
                  <to>
                    <xdr:col>5</xdr:col>
                    <xdr:colOff>0</xdr:colOff>
                    <xdr:row>21</xdr:row>
                    <xdr:rowOff>257175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33"/>
  <sheetViews>
    <sheetView workbookViewId="0">
      <pane ySplit="3" topLeftCell="A4" activePane="bottomLeft" state="frozen"/>
      <selection pane="bottomLeft" activeCell="C4" sqref="C4:C6"/>
    </sheetView>
  </sheetViews>
  <sheetFormatPr defaultRowHeight="11.25"/>
  <cols>
    <col min="1" max="1" width="87.6640625" customWidth="1"/>
    <col min="2" max="3" width="25.6640625" customWidth="1"/>
    <col min="4" max="4" width="60.6640625" customWidth="1"/>
    <col min="5" max="5" width="9.1640625" hidden="1" customWidth="1"/>
    <col min="6" max="6" width="10" customWidth="1"/>
  </cols>
  <sheetData>
    <row r="1" spans="1:12" s="3" customFormat="1" ht="43.5" customHeight="1">
      <c r="A1" s="912" t="str">
        <f>'t1'!A1</f>
        <v>Amministrazioni incluse nell'elenco ISTAT art. 1 c.3 legge 196/2009 (lista S13) - anno 2023</v>
      </c>
      <c r="B1" s="912"/>
      <c r="C1" s="973"/>
      <c r="D1" s="973"/>
      <c r="F1" s="4"/>
      <c r="L1"/>
    </row>
    <row r="2" spans="1:12" ht="30" customHeight="1" thickBot="1">
      <c r="A2" s="974" t="str">
        <f>IF(B31&gt;0,IF($F$32&gt;0," ","Attenzione: Compilare la presente Tabella"),IF(C31=0," "," "))</f>
        <v xml:space="preserve"> </v>
      </c>
      <c r="B2" s="974"/>
      <c r="C2" s="975"/>
      <c r="D2" s="975"/>
    </row>
    <row r="3" spans="1:12" ht="21.75" customHeight="1" thickBot="1">
      <c r="A3" s="825" t="s">
        <v>413</v>
      </c>
      <c r="B3" s="826" t="s">
        <v>414</v>
      </c>
      <c r="C3" s="826" t="s">
        <v>415</v>
      </c>
      <c r="D3" s="827" t="s">
        <v>374</v>
      </c>
    </row>
    <row r="4" spans="1:12" s="621" customFormat="1" ht="23.25" customHeight="1">
      <c r="A4" s="833" t="s">
        <v>416</v>
      </c>
      <c r="B4" s="834">
        <f>'t12'!K8</f>
        <v>0</v>
      </c>
      <c r="C4" s="976"/>
      <c r="D4" s="978"/>
      <c r="E4" s="621" t="s">
        <v>417</v>
      </c>
    </row>
    <row r="5" spans="1:12" s="621" customFormat="1" ht="23.25" customHeight="1">
      <c r="A5" s="544" t="s">
        <v>418</v>
      </c>
      <c r="B5" s="622">
        <f>'t13'!I8</f>
        <v>0</v>
      </c>
      <c r="C5" s="977"/>
      <c r="D5" s="979"/>
      <c r="E5" s="621" t="s">
        <v>419</v>
      </c>
    </row>
    <row r="6" spans="1:12" s="621" customFormat="1" ht="23.25" customHeight="1">
      <c r="A6" s="544" t="s">
        <v>420</v>
      </c>
      <c r="B6" s="622">
        <f>'t14'!D4</f>
        <v>0</v>
      </c>
      <c r="C6" s="977"/>
      <c r="D6" s="979"/>
      <c r="E6" s="621" t="s">
        <v>419</v>
      </c>
    </row>
    <row r="7" spans="1:12" s="621" customFormat="1" ht="23.25" customHeight="1">
      <c r="A7" s="544" t="s">
        <v>421</v>
      </c>
      <c r="B7" s="622">
        <f>'t14'!D5</f>
        <v>0</v>
      </c>
      <c r="C7" s="662"/>
      <c r="D7" s="195"/>
      <c r="E7" s="621" t="s">
        <v>152</v>
      </c>
    </row>
    <row r="8" spans="1:12" s="621" customFormat="1" ht="23.25" customHeight="1">
      <c r="A8" s="544" t="s">
        <v>130</v>
      </c>
      <c r="B8" s="622">
        <f>'t14'!D6</f>
        <v>0</v>
      </c>
      <c r="C8" s="662"/>
      <c r="D8" s="835"/>
      <c r="E8" s="621" t="s">
        <v>153</v>
      </c>
    </row>
    <row r="9" spans="1:12" s="621" customFormat="1" ht="23.25" customHeight="1">
      <c r="A9" s="623" t="s">
        <v>134</v>
      </c>
      <c r="B9" s="622">
        <f>'t14'!D7</f>
        <v>0</v>
      </c>
      <c r="C9" s="662"/>
      <c r="D9" s="195"/>
      <c r="E9" s="621" t="s">
        <v>154</v>
      </c>
    </row>
    <row r="10" spans="1:12" s="621" customFormat="1" ht="23.25" hidden="1" customHeight="1">
      <c r="A10" s="544" t="s">
        <v>133</v>
      </c>
      <c r="B10" s="831"/>
      <c r="C10" s="831"/>
      <c r="D10" s="836"/>
      <c r="E10" s="621" t="s">
        <v>155</v>
      </c>
    </row>
    <row r="11" spans="1:12" s="621" customFormat="1" ht="23.25" hidden="1" customHeight="1">
      <c r="A11" s="544" t="s">
        <v>132</v>
      </c>
      <c r="B11" s="831"/>
      <c r="C11" s="831"/>
      <c r="D11" s="836"/>
      <c r="E11" s="621" t="s">
        <v>156</v>
      </c>
    </row>
    <row r="12" spans="1:12" s="621" customFormat="1" ht="23.25" hidden="1" customHeight="1">
      <c r="A12" s="544" t="s">
        <v>436</v>
      </c>
      <c r="B12" s="831"/>
      <c r="C12" s="831"/>
      <c r="D12" s="836"/>
      <c r="E12" s="621" t="s">
        <v>144</v>
      </c>
    </row>
    <row r="13" spans="1:12" s="621" customFormat="1" ht="23.25" hidden="1" customHeight="1">
      <c r="A13" s="544" t="s">
        <v>157</v>
      </c>
      <c r="B13" s="831"/>
      <c r="C13" s="831"/>
      <c r="D13" s="836"/>
      <c r="E13" s="621" t="s">
        <v>158</v>
      </c>
    </row>
    <row r="14" spans="1:12" s="621" customFormat="1" ht="23.25" customHeight="1">
      <c r="A14" s="544" t="s">
        <v>552</v>
      </c>
      <c r="B14" s="624">
        <f>'t14'!D12</f>
        <v>0</v>
      </c>
      <c r="C14" s="662"/>
      <c r="D14" s="835"/>
      <c r="E14" s="621" t="s">
        <v>550</v>
      </c>
    </row>
    <row r="15" spans="1:12" s="621" customFormat="1" ht="23.25" customHeight="1">
      <c r="A15" s="544" t="s">
        <v>553</v>
      </c>
      <c r="B15" s="622">
        <f>'t14'!D13</f>
        <v>0</v>
      </c>
      <c r="C15" s="662"/>
      <c r="D15" s="835"/>
      <c r="E15" s="621" t="s">
        <v>551</v>
      </c>
    </row>
    <row r="16" spans="1:12" s="621" customFormat="1" ht="23.25" hidden="1" customHeight="1">
      <c r="A16" s="544" t="s">
        <v>422</v>
      </c>
      <c r="B16" s="831"/>
      <c r="C16" s="831"/>
      <c r="D16" s="836"/>
      <c r="E16" s="621" t="s">
        <v>3</v>
      </c>
    </row>
    <row r="17" spans="1:29" ht="23.25" hidden="1" customHeight="1">
      <c r="A17" s="544" t="s">
        <v>91</v>
      </c>
      <c r="B17" s="831"/>
      <c r="C17" s="831"/>
      <c r="D17" s="836"/>
      <c r="E17" t="s">
        <v>159</v>
      </c>
      <c r="H17" s="621"/>
      <c r="I17" s="621"/>
      <c r="J17" s="621"/>
      <c r="K17" s="621"/>
      <c r="L17" s="621"/>
      <c r="M17" s="621"/>
      <c r="N17" s="621"/>
      <c r="O17" s="621"/>
      <c r="P17" s="621"/>
      <c r="Q17" s="621"/>
      <c r="R17" s="621"/>
      <c r="S17" s="621"/>
      <c r="T17" s="621"/>
      <c r="U17" s="621"/>
      <c r="V17" s="621"/>
      <c r="W17" s="621"/>
      <c r="X17" s="621"/>
      <c r="Y17" s="621"/>
      <c r="Z17" s="621"/>
      <c r="AA17" s="621"/>
      <c r="AB17" s="621"/>
      <c r="AC17" s="621"/>
    </row>
    <row r="18" spans="1:29" s="3" customFormat="1" ht="23.25" customHeight="1">
      <c r="A18" s="544" t="s">
        <v>438</v>
      </c>
      <c r="B18" s="622">
        <f>'t14'!D16</f>
        <v>0</v>
      </c>
      <c r="C18" s="662"/>
      <c r="D18" s="835"/>
      <c r="E18" s="3" t="s">
        <v>141</v>
      </c>
      <c r="H18" s="621"/>
      <c r="I18" s="621"/>
      <c r="J18" s="621"/>
      <c r="K18" s="621"/>
      <c r="L18" s="621"/>
      <c r="M18" s="621"/>
      <c r="N18" s="621"/>
      <c r="O18" s="621"/>
      <c r="P18" s="621"/>
      <c r="Q18" s="621"/>
      <c r="R18" s="621"/>
      <c r="S18" s="621"/>
      <c r="T18" s="621"/>
      <c r="U18" s="621"/>
      <c r="V18" s="621"/>
      <c r="W18" s="621"/>
      <c r="X18" s="621"/>
      <c r="Y18" s="621"/>
      <c r="Z18" s="621"/>
      <c r="AA18" s="621"/>
      <c r="AB18" s="621"/>
      <c r="AC18" s="621"/>
    </row>
    <row r="19" spans="1:29" ht="23.25" hidden="1" customHeight="1">
      <c r="A19" s="544" t="s">
        <v>340</v>
      </c>
      <c r="B19" s="831"/>
      <c r="C19" s="831"/>
      <c r="D19" s="836"/>
      <c r="E19" s="621" t="s">
        <v>142</v>
      </c>
      <c r="H19" s="621"/>
      <c r="I19" s="621"/>
      <c r="J19" s="621"/>
      <c r="K19" s="621"/>
      <c r="L19" s="621"/>
      <c r="M19" s="621"/>
      <c r="N19" s="621"/>
      <c r="O19" s="621"/>
      <c r="P19" s="621"/>
      <c r="Q19" s="621"/>
      <c r="R19" s="621"/>
      <c r="S19" s="621"/>
      <c r="T19" s="621"/>
      <c r="U19" s="621"/>
      <c r="V19" s="621"/>
      <c r="W19" s="621"/>
      <c r="X19" s="621"/>
      <c r="Y19" s="621"/>
      <c r="Z19" s="621"/>
      <c r="AA19" s="621"/>
      <c r="AB19" s="621"/>
      <c r="AC19" s="621"/>
    </row>
    <row r="20" spans="1:29" ht="23.25" hidden="1" customHeight="1">
      <c r="A20" s="544" t="s">
        <v>131</v>
      </c>
      <c r="B20" s="831"/>
      <c r="C20" s="831"/>
      <c r="D20" s="836"/>
      <c r="E20" s="621" t="s">
        <v>151</v>
      </c>
      <c r="H20" s="621"/>
      <c r="I20" s="621"/>
      <c r="J20" s="621"/>
      <c r="K20" s="621"/>
      <c r="L20" s="621"/>
      <c r="M20" s="621"/>
      <c r="N20" s="621"/>
      <c r="O20" s="621"/>
      <c r="P20" s="621"/>
      <c r="Q20" s="621"/>
      <c r="R20" s="621"/>
      <c r="S20" s="621"/>
      <c r="T20" s="621"/>
      <c r="U20" s="621"/>
      <c r="V20" s="621"/>
      <c r="W20" s="621"/>
      <c r="X20" s="621"/>
      <c r="Y20" s="621"/>
      <c r="Z20" s="621"/>
      <c r="AA20" s="621"/>
      <c r="AB20" s="621"/>
      <c r="AC20" s="621"/>
    </row>
    <row r="21" spans="1:29" ht="23.25" customHeight="1">
      <c r="A21" s="544" t="s">
        <v>443</v>
      </c>
      <c r="B21" s="622">
        <f>'t14'!D19</f>
        <v>0</v>
      </c>
      <c r="C21" s="662"/>
      <c r="D21" s="835"/>
      <c r="E21" s="621" t="s">
        <v>444</v>
      </c>
      <c r="H21" s="621"/>
      <c r="I21" s="621"/>
      <c r="J21" s="621"/>
      <c r="K21" s="621"/>
      <c r="L21" s="621"/>
      <c r="M21" s="621"/>
      <c r="N21" s="621"/>
      <c r="O21" s="621"/>
      <c r="P21" s="621"/>
      <c r="Q21" s="621"/>
      <c r="R21" s="621"/>
      <c r="S21" s="621"/>
      <c r="T21" s="621"/>
      <c r="U21" s="621"/>
      <c r="V21" s="621"/>
      <c r="W21" s="621"/>
      <c r="X21" s="621"/>
      <c r="Y21" s="621"/>
      <c r="Z21" s="621"/>
      <c r="AA21" s="621"/>
      <c r="AB21" s="621"/>
      <c r="AC21" s="621"/>
    </row>
    <row r="22" spans="1:29" ht="23.25" customHeight="1">
      <c r="A22" s="544" t="s">
        <v>423</v>
      </c>
      <c r="B22" s="622">
        <f>'t14'!D20</f>
        <v>0</v>
      </c>
      <c r="C22" s="662"/>
      <c r="D22" s="835"/>
      <c r="E22" s="621" t="s">
        <v>147</v>
      </c>
      <c r="H22" s="621"/>
      <c r="I22" s="621"/>
      <c r="J22" s="621"/>
      <c r="K22" s="621"/>
      <c r="L22" s="621"/>
      <c r="M22" s="621"/>
      <c r="N22" s="621"/>
      <c r="O22" s="621"/>
      <c r="P22" s="621"/>
      <c r="Q22" s="621"/>
      <c r="R22" s="621"/>
      <c r="S22" s="621"/>
      <c r="T22" s="621"/>
      <c r="U22" s="621"/>
      <c r="V22" s="621"/>
      <c r="W22" s="621"/>
      <c r="X22" s="621"/>
      <c r="Y22" s="621"/>
      <c r="Z22" s="621"/>
      <c r="AA22" s="621"/>
      <c r="AB22" s="621"/>
      <c r="AC22" s="621"/>
    </row>
    <row r="23" spans="1:29" ht="23.25" hidden="1" customHeight="1">
      <c r="A23" s="544" t="s">
        <v>439</v>
      </c>
      <c r="B23" s="832"/>
      <c r="C23" s="832"/>
      <c r="D23" s="837"/>
      <c r="E23" s="621" t="s">
        <v>148</v>
      </c>
      <c r="G23" s="785"/>
      <c r="H23" s="621"/>
      <c r="I23" s="621"/>
      <c r="J23" s="621"/>
      <c r="K23" s="621"/>
      <c r="L23" s="621"/>
      <c r="M23" s="621"/>
      <c r="N23" s="621"/>
      <c r="O23" s="621"/>
      <c r="P23" s="621"/>
      <c r="Q23" s="621"/>
      <c r="R23" s="621"/>
      <c r="S23" s="621"/>
      <c r="T23" s="621"/>
      <c r="U23" s="621"/>
      <c r="V23" s="621"/>
      <c r="W23" s="621"/>
      <c r="X23" s="621"/>
      <c r="Y23" s="621"/>
      <c r="Z23" s="621"/>
      <c r="AA23" s="621"/>
      <c r="AB23" s="621"/>
      <c r="AC23" s="621"/>
    </row>
    <row r="24" spans="1:29" ht="23.25" customHeight="1">
      <c r="A24" s="544" t="s">
        <v>424</v>
      </c>
      <c r="B24" s="622">
        <f>'t14'!D22</f>
        <v>0</v>
      </c>
      <c r="C24" s="662"/>
      <c r="D24" s="835"/>
      <c r="E24" s="621" t="s">
        <v>149</v>
      </c>
      <c r="H24" s="621"/>
      <c r="I24" s="621"/>
      <c r="J24" s="621"/>
      <c r="K24" s="621"/>
      <c r="L24" s="621"/>
      <c r="M24" s="621"/>
      <c r="N24" s="621"/>
      <c r="O24" s="621"/>
      <c r="P24" s="621"/>
      <c r="Q24" s="621"/>
      <c r="R24" s="621"/>
      <c r="S24" s="621"/>
      <c r="T24" s="621"/>
      <c r="U24" s="621"/>
      <c r="V24" s="621"/>
      <c r="W24" s="621"/>
      <c r="X24" s="621"/>
      <c r="Y24" s="621"/>
      <c r="Z24" s="621"/>
      <c r="AA24" s="621"/>
      <c r="AB24" s="621"/>
      <c r="AC24" s="621"/>
    </row>
    <row r="25" spans="1:29" s="621" customFormat="1" ht="23.25" customHeight="1">
      <c r="A25" s="544" t="s">
        <v>437</v>
      </c>
      <c r="B25" s="622">
        <f>'t14'!D23</f>
        <v>0</v>
      </c>
      <c r="C25" s="662"/>
      <c r="D25" s="835"/>
      <c r="E25" s="621" t="s">
        <v>143</v>
      </c>
    </row>
    <row r="26" spans="1:29" ht="23.25" customHeight="1">
      <c r="A26" s="625" t="s">
        <v>440</v>
      </c>
      <c r="B26" s="622">
        <f>'t14'!D24</f>
        <v>0</v>
      </c>
      <c r="C26" s="662"/>
      <c r="D26" s="835"/>
      <c r="E26" s="621" t="s">
        <v>145</v>
      </c>
      <c r="H26" s="621"/>
      <c r="I26" s="621"/>
      <c r="J26" s="621"/>
      <c r="K26" s="621"/>
      <c r="L26" s="621"/>
      <c r="M26" s="621"/>
      <c r="N26" s="621"/>
      <c r="O26" s="621"/>
      <c r="P26" s="621"/>
      <c r="Q26" s="621"/>
      <c r="R26" s="621"/>
      <c r="S26" s="621"/>
      <c r="T26" s="621"/>
      <c r="U26" s="621"/>
      <c r="V26" s="621"/>
      <c r="W26" s="621"/>
      <c r="X26" s="621"/>
      <c r="Y26" s="621"/>
      <c r="Z26" s="621"/>
      <c r="AA26" s="621"/>
      <c r="AB26" s="621"/>
      <c r="AC26" s="621"/>
    </row>
    <row r="27" spans="1:29" ht="23.25" customHeight="1" thickBot="1">
      <c r="A27" s="545" t="s">
        <v>425</v>
      </c>
      <c r="B27" s="626">
        <f>'t14'!D25+'t14'!D26</f>
        <v>0</v>
      </c>
      <c r="C27" s="663"/>
      <c r="D27" s="838"/>
      <c r="E27" s="621" t="s">
        <v>426</v>
      </c>
      <c r="H27" s="621"/>
      <c r="I27" s="621"/>
      <c r="J27" s="621"/>
      <c r="K27" s="621"/>
      <c r="L27" s="621"/>
      <c r="M27" s="621"/>
      <c r="N27" s="621"/>
      <c r="O27" s="621"/>
      <c r="P27" s="621"/>
      <c r="Q27" s="621"/>
      <c r="R27" s="621"/>
      <c r="S27" s="621"/>
      <c r="T27" s="621"/>
      <c r="U27" s="621"/>
      <c r="V27" s="621"/>
      <c r="W27" s="621"/>
      <c r="X27" s="621"/>
      <c r="Y27" s="621"/>
      <c r="Z27" s="621"/>
      <c r="AA27" s="621"/>
      <c r="AB27" s="621"/>
      <c r="AC27" s="621"/>
    </row>
    <row r="28" spans="1:29" ht="16.149999999999999" customHeight="1" thickBot="1">
      <c r="A28" s="828" t="s">
        <v>427</v>
      </c>
      <c r="B28" s="829">
        <f>SUM(B4:B27)</f>
        <v>0</v>
      </c>
      <c r="C28" s="829">
        <f>SUM(C4:C27)</f>
        <v>0</v>
      </c>
      <c r="D28" s="830"/>
      <c r="E28" s="621" t="s">
        <v>419</v>
      </c>
      <c r="H28" s="621"/>
      <c r="I28" s="621"/>
      <c r="J28" s="621"/>
      <c r="K28" s="621"/>
      <c r="L28" s="621"/>
      <c r="M28" s="621"/>
      <c r="N28" s="621"/>
      <c r="O28" s="621"/>
      <c r="P28" s="621"/>
      <c r="Q28" s="621"/>
      <c r="R28" s="621"/>
      <c r="S28" s="621"/>
      <c r="T28" s="621"/>
      <c r="U28" s="621"/>
      <c r="V28" s="621"/>
      <c r="W28" s="621"/>
      <c r="X28" s="621"/>
      <c r="Y28" s="621"/>
      <c r="Z28" s="621"/>
      <c r="AA28" s="621"/>
      <c r="AB28" s="621"/>
      <c r="AC28" s="621"/>
    </row>
    <row r="29" spans="1:29" ht="16.149999999999999" customHeight="1">
      <c r="A29" s="629"/>
      <c r="B29" s="629"/>
      <c r="C29" s="629"/>
      <c r="D29" s="630"/>
      <c r="E29" s="621" t="s">
        <v>419</v>
      </c>
      <c r="H29" s="621"/>
      <c r="I29" s="621"/>
      <c r="J29" s="621"/>
      <c r="K29" s="621"/>
      <c r="L29" s="621"/>
      <c r="M29" s="621"/>
      <c r="N29" s="621"/>
      <c r="O29" s="621"/>
      <c r="P29" s="621"/>
      <c r="Q29" s="621"/>
      <c r="R29" s="621"/>
      <c r="S29" s="621"/>
      <c r="T29" s="621"/>
      <c r="U29" s="621"/>
      <c r="V29" s="621"/>
      <c r="W29" s="621"/>
      <c r="X29" s="621"/>
      <c r="Y29" s="621"/>
      <c r="Z29" s="621"/>
      <c r="AA29" s="621"/>
      <c r="AB29" s="621"/>
      <c r="AC29" s="621"/>
    </row>
    <row r="30" spans="1:29" ht="23.25" customHeight="1" thickBot="1">
      <c r="A30" s="631" t="s">
        <v>428</v>
      </c>
      <c r="B30" s="622">
        <f>'t14'!D27+'t14'!D28+'t14'!D29</f>
        <v>0</v>
      </c>
      <c r="C30" s="663"/>
      <c r="D30" s="664"/>
      <c r="E30" s="621" t="s">
        <v>429</v>
      </c>
      <c r="H30" s="621"/>
      <c r="I30" s="621"/>
      <c r="J30" s="621"/>
      <c r="K30" s="621"/>
      <c r="L30" s="621"/>
      <c r="M30" s="621"/>
      <c r="N30" s="621"/>
      <c r="O30" s="621"/>
      <c r="P30" s="621"/>
      <c r="Q30" s="621"/>
      <c r="R30" s="621"/>
      <c r="S30" s="621"/>
      <c r="T30" s="621"/>
      <c r="U30" s="621"/>
      <c r="V30" s="621"/>
      <c r="W30" s="621"/>
      <c r="X30" s="621"/>
      <c r="Y30" s="621"/>
      <c r="Z30" s="621"/>
      <c r="AA30" s="621"/>
      <c r="AB30" s="621"/>
      <c r="AC30" s="621"/>
    </row>
    <row r="31" spans="1:29" ht="16.149999999999999" customHeight="1" thickBot="1">
      <c r="A31" s="627" t="s">
        <v>430</v>
      </c>
      <c r="B31" s="628">
        <f>B28-B30</f>
        <v>0</v>
      </c>
      <c r="C31" s="628">
        <f>C28-C30</f>
        <v>0</v>
      </c>
      <c r="D31" s="632"/>
      <c r="E31" s="633"/>
    </row>
    <row r="32" spans="1:29">
      <c r="F32" s="634">
        <f>IF(AND(C28=0,C30=0,D4="",D7="",D8="",D9="",D10="",D11="",D12="",D25="",D13="",D14="",D15="",D16="",D17="",D18="",D19="",D20="",D21="",D22="",D23="",D24="",D26="",D27="",D30=""),0,1)</f>
        <v>0</v>
      </c>
    </row>
    <row r="33" spans="1:1">
      <c r="A33" t="s">
        <v>166</v>
      </c>
    </row>
  </sheetData>
  <sheetProtection algorithmName="SHA-512" hashValue="Wy2IPAflAol4DLXdH9myaPtKsG9MzU08DCfX+gkg1Mwq9cHsmwy6ruVFp7bkv7UKx9ptZLbL/A1Py3Agh1JJIw==" saltValue="W9/YPf0CbfB+cIuGLz1r7Q==" spinCount="100000" sheet="1" formatColumns="0" selectLockedCells="1"/>
  <mergeCells count="4">
    <mergeCell ref="A1:D1"/>
    <mergeCell ref="A2:D2"/>
    <mergeCell ref="C4:C6"/>
    <mergeCell ref="D4:D6"/>
  </mergeCells>
  <dataValidations count="3">
    <dataValidation type="whole" allowBlank="1" showInputMessage="1" showErrorMessage="1" errorTitle="ERRORE NEL DATO IMMESSO" error="INSERIRE SOLO NUMERI INTERI" sqref="C30 C14:C15 C18 C4:C9 C21:C22 C24:C27" xr:uid="{00000000-0002-0000-1100-000000000000}">
      <formula1>0</formula1>
      <formula2>99999999999999900000</formula2>
    </dataValidation>
    <dataValidation type="textLength" allowBlank="1" showInputMessage="1" showErrorMessage="1" errorTitle="ATTENZIONE ! ! !" error="E' stato superato il limite di 500 caratteri" sqref="D27 D30" xr:uid="{00000000-0002-0000-1100-000001000000}">
      <formula1>0</formula1>
      <formula2>500</formula2>
    </dataValidation>
    <dataValidation type="textLength" allowBlank="1" showInputMessage="1" showErrorMessage="1" errorTitle="ATTENZIONE ! ! ! " error="E' stato superato il limite di 500 caratteri" sqref="D14:D15 D18 D4:D9 D21:D22 D24:D26" xr:uid="{00000000-0002-0000-1100-000002000000}">
      <formula1>0</formula1>
      <formula2>500</formula2>
    </dataValidation>
  </dataValidation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36">
    <tabColor rgb="FFCC0099"/>
  </sheetPr>
  <dimension ref="A1:X10"/>
  <sheetViews>
    <sheetView showGridLines="0" workbookViewId="0">
      <pane xSplit="2" ySplit="5" topLeftCell="C6" activePane="bottomRight" state="frozen"/>
      <selection activeCell="A2" sqref="A2"/>
      <selection pane="topRight" activeCell="A2" sqref="A2"/>
      <selection pane="bottomLeft" activeCell="A2" sqref="A2"/>
      <selection pane="bottomRight" activeCell="B4" sqref="B4"/>
    </sheetView>
  </sheetViews>
  <sheetFormatPr defaultRowHeight="11.25"/>
  <cols>
    <col min="1" max="1" width="52" style="3" customWidth="1"/>
    <col min="2" max="2" width="10" style="2" customWidth="1"/>
    <col min="3" max="5" width="10.6640625" style="2" customWidth="1"/>
    <col min="6" max="8" width="11.6640625" style="2" customWidth="1"/>
    <col min="9" max="15" width="13.6640625" style="2" customWidth="1"/>
    <col min="16" max="20" width="14.6640625" style="2" customWidth="1"/>
    <col min="21" max="21" width="9.33203125" style="98" customWidth="1"/>
  </cols>
  <sheetData>
    <row r="1" spans="1:24" s="3" customFormat="1" ht="43.5" customHeight="1">
      <c r="A1" s="912" t="str">
        <f>'t1'!A1</f>
        <v>Amministrazioni incluse nell'elenco ISTAT art. 1 c.3 legge 196/2009 (lista S13) - anno 2023</v>
      </c>
      <c r="B1" s="912"/>
      <c r="C1" s="912"/>
      <c r="D1" s="912"/>
      <c r="E1" s="912"/>
      <c r="F1" s="912"/>
      <c r="G1" s="912"/>
      <c r="H1" s="912"/>
      <c r="I1" s="912"/>
      <c r="J1" s="912"/>
      <c r="K1" s="912"/>
      <c r="L1" s="912"/>
      <c r="M1" s="912"/>
      <c r="N1" s="912"/>
      <c r="O1" s="912"/>
      <c r="P1" s="912"/>
      <c r="Q1" s="912"/>
      <c r="R1" s="912"/>
      <c r="S1" s="912"/>
      <c r="T1" s="912"/>
      <c r="X1"/>
    </row>
    <row r="2" spans="1:24" s="3" customFormat="1" ht="12.75" customHeight="1">
      <c r="I2" s="490"/>
      <c r="J2" s="490"/>
      <c r="K2" s="490"/>
      <c r="L2" s="490"/>
      <c r="M2" s="490"/>
      <c r="N2" s="490"/>
      <c r="O2" s="490"/>
      <c r="P2" s="490"/>
      <c r="Q2" s="490"/>
      <c r="R2" s="490"/>
      <c r="S2" s="490"/>
      <c r="T2" s="490"/>
      <c r="U2" s="292"/>
      <c r="X2"/>
    </row>
    <row r="3" spans="1:24" s="3" customFormat="1" ht="21" customHeight="1">
      <c r="A3" s="176" t="s">
        <v>296</v>
      </c>
      <c r="B3" s="2"/>
      <c r="C3" s="2"/>
      <c r="D3" s="2"/>
    </row>
    <row r="4" spans="1:24" s="3" customFormat="1" ht="21" customHeight="1">
      <c r="A4" s="176"/>
      <c r="B4" s="2"/>
      <c r="C4" s="2"/>
      <c r="D4" s="2"/>
      <c r="F4" s="980" t="s">
        <v>297</v>
      </c>
      <c r="G4" s="981"/>
      <c r="H4" s="982"/>
      <c r="I4" s="980" t="s">
        <v>384</v>
      </c>
      <c r="J4" s="981"/>
      <c r="K4" s="981"/>
      <c r="L4" s="981"/>
      <c r="M4" s="981"/>
      <c r="N4" s="981"/>
      <c r="O4" s="982"/>
      <c r="P4" s="980" t="s">
        <v>385</v>
      </c>
      <c r="Q4" s="981"/>
      <c r="R4" s="981"/>
      <c r="S4" s="981"/>
      <c r="T4" s="982"/>
    </row>
    <row r="5" spans="1:24" ht="64.5">
      <c r="A5" s="491" t="s">
        <v>216</v>
      </c>
      <c r="B5" s="492" t="s">
        <v>178</v>
      </c>
      <c r="C5" s="493" t="str">
        <f>"presenti al 31/12/"&amp;'t1'!L1&amp;" (tab.1)"</f>
        <v>presenti al 31/12/2023 (tab.1)</v>
      </c>
      <c r="D5" s="493" t="s">
        <v>10</v>
      </c>
      <c r="E5" s="492" t="s">
        <v>298</v>
      </c>
      <c r="F5" s="494" t="str">
        <f>'t11'!C4</f>
        <v>FERIE</v>
      </c>
      <c r="G5" s="494" t="s">
        <v>299</v>
      </c>
      <c r="H5" s="494" t="s">
        <v>300</v>
      </c>
      <c r="I5" s="494" t="s">
        <v>494</v>
      </c>
      <c r="J5" s="494" t="str">
        <f>'t12'!F4</f>
        <v>R.I.A.</v>
      </c>
      <c r="K5" s="494" t="str">
        <f>'t12'!G4</f>
        <v>PROGRESSIONE CLASSI E SCATTI / FASCE / DIFFERENZIALI STIPENDIALI</v>
      </c>
      <c r="L5" s="494" t="str">
        <f>'t12'!H4</f>
        <v>TREDICESIMA MENSILTA'</v>
      </c>
      <c r="M5" s="495" t="s">
        <v>301</v>
      </c>
      <c r="N5" s="496" t="str">
        <f>'t12'!I4</f>
        <v>ARRETRATI  ANNI PRECEDENTI</v>
      </c>
      <c r="O5" s="496" t="str">
        <f>'t12'!J4</f>
        <v>RECUPERI DERIVANTI DA ASSENZE, RITARDI, ECC.</v>
      </c>
      <c r="P5" s="494" t="s">
        <v>279</v>
      </c>
      <c r="Q5" s="494" t="s">
        <v>302</v>
      </c>
      <c r="R5" s="494" t="s">
        <v>303</v>
      </c>
      <c r="S5" s="495" t="s">
        <v>304</v>
      </c>
      <c r="T5" s="496" t="str">
        <f>'t13'!F4</f>
        <v>ARRETRATI ANNI PRECEDENTI</v>
      </c>
    </row>
    <row r="6" spans="1:24">
      <c r="A6" s="121" t="str">
        <f>'t1'!A6</f>
        <v>PERSONALE DIRIGENTE</v>
      </c>
      <c r="B6" s="95" t="str">
        <f>'t1'!B6</f>
        <v>0D00NF</v>
      </c>
      <c r="C6" s="497">
        <f>'t1'!K6+'t1'!L6</f>
        <v>0</v>
      </c>
      <c r="D6" s="497">
        <f>('t1'!K6+'t1'!L6)-SUM('t3'!C6:F6,'t3'!I6:J6)+SUM('t3'!K6:N6)</f>
        <v>0</v>
      </c>
      <c r="E6" s="498">
        <f>'t12'!C6/12</f>
        <v>0</v>
      </c>
      <c r="F6" s="498" t="str">
        <f>IF($D6&gt;0,(('t11'!C8+'t11'!D8)/$D6)," ")</f>
        <v xml:space="preserve"> </v>
      </c>
      <c r="G6" s="498" t="str">
        <f>IF($D6&gt;0,(SUM('t11'!E8:N8)/$D6)," ")</f>
        <v xml:space="preserve"> </v>
      </c>
      <c r="H6" s="498" t="str">
        <f>IF($D6&gt;0,(SUM('t11'!O8:R8)/$D6)," ")</f>
        <v xml:space="preserve"> </v>
      </c>
      <c r="I6" s="499" t="str">
        <f>IF($E6=0," ",('t12'!D6+'t12'!E6)/$E6)</f>
        <v xml:space="preserve"> </v>
      </c>
      <c r="J6" s="499" t="str">
        <f>IF($E6=0," ",'t12'!F6/$E6)</f>
        <v xml:space="preserve"> </v>
      </c>
      <c r="K6" s="499" t="str">
        <f>IF($E6=0," ",'t12'!G6/$E6)</f>
        <v xml:space="preserve"> </v>
      </c>
      <c r="L6" s="499" t="str">
        <f>IF($E6=0," ",'t12'!H6/$E6)</f>
        <v xml:space="preserve"> </v>
      </c>
      <c r="M6" s="500">
        <f>SUM(I6:L6)</f>
        <v>0</v>
      </c>
      <c r="N6" s="501" t="str">
        <f>IF($E6=0," ",'t12'!I6/$E6)</f>
        <v xml:space="preserve"> </v>
      </c>
      <c r="O6" s="501" t="str">
        <f>IF($E6=0," ",'t12'!J6/$E6)</f>
        <v xml:space="preserve"> </v>
      </c>
      <c r="P6" s="499" t="str">
        <f>IF($E6=0," ",'t13'!H6/$E6)</f>
        <v xml:space="preserve"> </v>
      </c>
      <c r="Q6" s="499" t="str">
        <f>IF($E6=0," ",SUM('t13'!C6:D6)/$E6)</f>
        <v xml:space="preserve"> </v>
      </c>
      <c r="R6" s="499" t="str">
        <f>IF($E6=0," ",(SUM('t13'!E6:E6)+'t13'!G6)/$E6)</f>
        <v xml:space="preserve"> </v>
      </c>
      <c r="S6" s="500">
        <f>SUM(P6:R6)</f>
        <v>0</v>
      </c>
      <c r="T6" s="501" t="str">
        <f>IF($E6=0," ",'t13'!F6/$E6)</f>
        <v xml:space="preserve"> </v>
      </c>
    </row>
    <row r="7" spans="1:24">
      <c r="A7" s="121" t="str">
        <f>'t1'!A7</f>
        <v>PERSONALE NON DIRIGENTE</v>
      </c>
      <c r="B7" s="95" t="str">
        <f>'t1'!B7</f>
        <v>0000ND</v>
      </c>
      <c r="C7" s="497">
        <f>'t1'!K7+'t1'!L7</f>
        <v>0</v>
      </c>
      <c r="D7" s="497">
        <f>('t1'!K7+'t1'!L7)-SUM('t3'!C7:F7,'t3'!I7:J7)+SUM('t3'!K7:N7)</f>
        <v>0</v>
      </c>
      <c r="E7" s="498">
        <f>'t12'!C7/12</f>
        <v>0</v>
      </c>
      <c r="F7" s="498" t="str">
        <f>IF($D7&gt;0,(('t11'!C9+'t11'!D9)/$D7)," ")</f>
        <v xml:space="preserve"> </v>
      </c>
      <c r="G7" s="498" t="str">
        <f>IF($D7&gt;0,(SUM('t11'!E9:N9)/$D7)," ")</f>
        <v xml:space="preserve"> </v>
      </c>
      <c r="H7" s="498" t="str">
        <f>IF($D7&gt;0,(SUM('t11'!O9:R9)/$D7)," ")</f>
        <v xml:space="preserve"> </v>
      </c>
      <c r="I7" s="499" t="str">
        <f>IF($E7=0," ",('t12'!D7+'t12'!E7)/$E7)</f>
        <v xml:space="preserve"> </v>
      </c>
      <c r="J7" s="499" t="str">
        <f>IF($E7=0," ",'t12'!F7/$E7)</f>
        <v xml:space="preserve"> </v>
      </c>
      <c r="K7" s="499" t="str">
        <f>IF($E7=0," ",'t12'!G7/$E7)</f>
        <v xml:space="preserve"> </v>
      </c>
      <c r="L7" s="499" t="str">
        <f>IF($E7=0," ",'t12'!H7/$E7)</f>
        <v xml:space="preserve"> </v>
      </c>
      <c r="M7" s="500">
        <f>SUM(I7:L7)</f>
        <v>0</v>
      </c>
      <c r="N7" s="501" t="str">
        <f>IF($E7=0," ",'t12'!I7/$E7)</f>
        <v xml:space="preserve"> </v>
      </c>
      <c r="O7" s="501" t="str">
        <f>IF($E7=0," ",'t12'!J7/$E7)</f>
        <v xml:space="preserve"> </v>
      </c>
      <c r="P7" s="499" t="str">
        <f>IF($E7=0," ",'t13'!H7/$E7)</f>
        <v xml:space="preserve"> </v>
      </c>
      <c r="Q7" s="499" t="str">
        <f>IF($E7=0," ",SUM('t13'!C7:D7)/$E7)</f>
        <v xml:space="preserve"> </v>
      </c>
      <c r="R7" s="499" t="str">
        <f>IF($E7=0," ",(SUM('t13'!E7:E7)+'t13'!H7)/$E7)</f>
        <v xml:space="preserve"> </v>
      </c>
      <c r="S7" s="500">
        <f>SUM(P7:R7)</f>
        <v>0</v>
      </c>
      <c r="T7" s="501" t="str">
        <f>IF($E7=0," ",'t13'!F7/$E7)</f>
        <v xml:space="preserve"> </v>
      </c>
    </row>
    <row r="9" spans="1:24">
      <c r="A9" s="3" t="str">
        <f>"(*)  Personale presente al 31/12/"&amp;'t1'!L1&amp;" di T1 - personale dell'amministrazione comandato/distaccato, fuori ruolo e in esonero di T3 + personale esterno comandato/distaccato e fuori ruolo di T3"</f>
        <v>(*)  Personale presente al 31/12/2023 di T1 - personale dell'amministrazione comandato/distaccato, fuori ruolo e in esonero di T3 + personale esterno comandato/distaccato e fuori ruolo di T3</v>
      </c>
    </row>
    <row r="10" spans="1:24">
      <c r="A10" s="3" t="s">
        <v>386</v>
      </c>
    </row>
  </sheetData>
  <sheetProtection password="DD41" sheet="1" formatColumns="0" selectLockedCells="1" selectUnlockedCells="1"/>
  <mergeCells count="4">
    <mergeCell ref="F4:H4"/>
    <mergeCell ref="I4:O4"/>
    <mergeCell ref="P4:T4"/>
    <mergeCell ref="A1:T1"/>
  </mergeCells>
  <phoneticPr fontId="29" type="noConversion"/>
  <printOptions horizontalCentered="1" verticalCentered="1"/>
  <pageMargins left="0.19685039370078741" right="0.19685039370078741" top="0.19685039370078741" bottom="0.15748031496062992" header="0.15748031496062992" footer="0.15748031496062992"/>
  <pageSetup paperSize="9" scale="80" orientation="landscape" horizontalDpi="0" verticalDpi="0" r:id="rId1"/>
  <headerFooter alignWithMargins="0"/>
  <colBreaks count="1" manualBreakCount="1">
    <brk id="15"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2"/>
  <dimension ref="A1:T31"/>
  <sheetViews>
    <sheetView showGridLines="0" workbookViewId="0">
      <pane ySplit="5" topLeftCell="A6" activePane="bottomLeft" state="frozen"/>
      <selection activeCell="A2" sqref="A2"/>
      <selection pane="bottomLeft" activeCell="A2" sqref="A2"/>
    </sheetView>
  </sheetViews>
  <sheetFormatPr defaultColWidth="9.33203125" defaultRowHeight="11.25"/>
  <cols>
    <col min="1" max="1" width="37.6640625" style="3" customWidth="1"/>
    <col min="2" max="2" width="10" style="2" bestFit="1" customWidth="1"/>
    <col min="3" max="7" width="13.33203125" style="2" customWidth="1"/>
    <col min="8" max="8" width="15" style="2" customWidth="1"/>
    <col min="9" max="10" width="13.33203125" style="2" customWidth="1"/>
    <col min="11" max="16384" width="9.33203125" style="3"/>
  </cols>
  <sheetData>
    <row r="1" spans="1:20" ht="43.5" customHeight="1">
      <c r="A1" s="894" t="str">
        <f>'t1'!A1</f>
        <v>Amministrazioni incluse nell'elenco ISTAT art. 1 c.3 legge 196/2009 (lista S13) - anno 2023</v>
      </c>
      <c r="B1" s="894"/>
      <c r="C1" s="894"/>
      <c r="D1" s="894"/>
      <c r="E1" s="894"/>
      <c r="F1" s="894"/>
      <c r="G1" s="894"/>
      <c r="H1" s="894"/>
      <c r="I1" s="894"/>
      <c r="J1" s="894"/>
      <c r="M1"/>
    </row>
    <row r="2" spans="1:20" ht="12.75" customHeight="1">
      <c r="B2" s="3"/>
      <c r="C2" s="3"/>
      <c r="D2" s="983"/>
      <c r="E2" s="983"/>
      <c r="F2" s="983"/>
      <c r="G2" s="983"/>
      <c r="H2" s="983"/>
      <c r="I2" s="983"/>
      <c r="J2" s="983"/>
      <c r="M2"/>
    </row>
    <row r="3" spans="1:20" s="176" customFormat="1" ht="21" customHeight="1">
      <c r="A3" s="176" t="str">
        <f>"Tavola di coerenza tra presenti al 31.12."&amp;'t1'!L1&amp;" e presenti al 31.12."&amp;'t1'!L1-1&amp;" (Squadratura 1)"</f>
        <v>Tavola di coerenza tra presenti al 31.12.2023 e presenti al 31.12.2022 (Squadratura 1)</v>
      </c>
      <c r="B3" s="290"/>
    </row>
    <row r="4" spans="1:20" ht="36.75" customHeight="1">
      <c r="A4" s="159" t="s">
        <v>179</v>
      </c>
      <c r="B4" s="160" t="s">
        <v>178</v>
      </c>
      <c r="C4" s="160" t="str">
        <f>"Presenti 31.12."&amp;'t1'!L1-1&amp;" (Tab 1)"</f>
        <v>Presenti 31.12.2022 (Tab 1)</v>
      </c>
      <c r="D4" s="160" t="s">
        <v>171</v>
      </c>
      <c r="E4" s="160" t="s">
        <v>226</v>
      </c>
      <c r="F4" s="160" t="s">
        <v>173</v>
      </c>
      <c r="G4" s="160" t="s">
        <v>172</v>
      </c>
      <c r="H4" s="160" t="str">
        <f>"Presenti 31.12."&amp;'t1'!L1&amp;" (Calcolati)"</f>
        <v>Presenti 31.12.2023 (Calcolati)</v>
      </c>
      <c r="I4" s="160" t="str">
        <f>"Presenti 31.12."&amp;'t1'!L1&amp;" (Tab 1)"</f>
        <v>Presenti 31.12.2023 (Tab 1)</v>
      </c>
      <c r="J4" s="160" t="s">
        <v>188</v>
      </c>
    </row>
    <row r="5" spans="1:20">
      <c r="A5" s="577"/>
      <c r="B5" s="160"/>
      <c r="C5" s="165" t="s">
        <v>180</v>
      </c>
      <c r="D5" s="165" t="s">
        <v>181</v>
      </c>
      <c r="E5" s="165" t="s">
        <v>182</v>
      </c>
      <c r="F5" s="165" t="s">
        <v>183</v>
      </c>
      <c r="G5" s="165" t="s">
        <v>184</v>
      </c>
      <c r="H5" s="165" t="s">
        <v>185</v>
      </c>
      <c r="I5" s="165" t="s">
        <v>186</v>
      </c>
      <c r="J5" s="165" t="s">
        <v>187</v>
      </c>
    </row>
    <row r="6" spans="1:20" ht="12.75" customHeight="1">
      <c r="A6" s="578" t="str">
        <f>'t1'!A6</f>
        <v>PERSONALE DIRIGENTE</v>
      </c>
      <c r="B6" s="166" t="str">
        <f>'t1'!B6</f>
        <v>0D00NF</v>
      </c>
      <c r="C6" s="313">
        <f>'t1'!C6+'t1'!D6</f>
        <v>0</v>
      </c>
      <c r="D6" s="313">
        <f>'t5'!U7+'t5'!V7</f>
        <v>0</v>
      </c>
      <c r="E6" s="314">
        <f>'t6'!U7+'t6'!V7</f>
        <v>0</v>
      </c>
      <c r="F6" s="314">
        <f>'t4'!E15</f>
        <v>0</v>
      </c>
      <c r="G6" s="314">
        <f>'t4'!C17</f>
        <v>0</v>
      </c>
      <c r="H6" s="314">
        <f>C6-D6+E6-F6+G6</f>
        <v>0</v>
      </c>
      <c r="I6" s="314">
        <f>'t1'!K6+'t1'!L6</f>
        <v>0</v>
      </c>
      <c r="J6" s="95" t="str">
        <f>IF(H6=I6,"OK","ERRORE")</f>
        <v>OK</v>
      </c>
    </row>
    <row r="7" spans="1:20" ht="12.75" customHeight="1">
      <c r="A7" s="578" t="str">
        <f>'t1'!A7</f>
        <v>PERSONALE NON DIRIGENTE</v>
      </c>
      <c r="B7" s="166" t="str">
        <f>'t1'!B7</f>
        <v>0000ND</v>
      </c>
      <c r="C7" s="313">
        <f>'t1'!C7+'t1'!D7</f>
        <v>0</v>
      </c>
      <c r="D7" s="313">
        <f>'t5'!U8+'t5'!V8</f>
        <v>0</v>
      </c>
      <c r="E7" s="314">
        <f>'t6'!U8+'t6'!V8</f>
        <v>0</v>
      </c>
      <c r="F7" s="314">
        <f>'t4'!E16</f>
        <v>0</v>
      </c>
      <c r="G7" s="314">
        <f>'t4'!D17</f>
        <v>0</v>
      </c>
      <c r="H7" s="314">
        <f>C7-D7+E7-F7+G7</f>
        <v>0</v>
      </c>
      <c r="I7" s="314">
        <f>'t1'!K7+'t1'!L7</f>
        <v>0</v>
      </c>
      <c r="J7" s="95" t="str">
        <f>IF(H7=I7,"OK","ERRORE")</f>
        <v>OK</v>
      </c>
    </row>
    <row r="8" spans="1:20" s="320" customFormat="1" ht="15.75" customHeight="1">
      <c r="A8" s="579" t="str">
        <f>'t1'!A8</f>
        <v>TOTALE</v>
      </c>
      <c r="B8" s="186"/>
      <c r="C8" s="336">
        <f t="shared" ref="C8:I8" si="0">SUM(C6:C7)</f>
        <v>0</v>
      </c>
      <c r="D8" s="336">
        <f t="shared" si="0"/>
        <v>0</v>
      </c>
      <c r="E8" s="336">
        <f t="shared" si="0"/>
        <v>0</v>
      </c>
      <c r="F8" s="336">
        <f t="shared" si="0"/>
        <v>0</v>
      </c>
      <c r="G8" s="336">
        <f t="shared" si="0"/>
        <v>0</v>
      </c>
      <c r="H8" s="336">
        <f t="shared" si="0"/>
        <v>0</v>
      </c>
      <c r="I8" s="336">
        <f t="shared" si="0"/>
        <v>0</v>
      </c>
      <c r="J8" s="159" t="str">
        <f>IF(H8=I8,"OK","ERRORE")</f>
        <v>OK</v>
      </c>
    </row>
    <row r="13" spans="1:20">
      <c r="F13" s="333"/>
      <c r="G13" s="333"/>
      <c r="H13" s="333"/>
      <c r="I13" s="333"/>
      <c r="J13" s="333"/>
      <c r="K13" s="334"/>
      <c r="L13" s="334"/>
      <c r="M13" s="334"/>
      <c r="N13" s="334"/>
      <c r="O13" s="334"/>
      <c r="P13" s="334"/>
      <c r="Q13" s="334"/>
      <c r="R13" s="334"/>
      <c r="S13" s="334"/>
      <c r="T13" s="334"/>
    </row>
    <row r="17" spans="7:7">
      <c r="G17" s="333"/>
    </row>
    <row r="18" spans="7:7">
      <c r="G18" s="333"/>
    </row>
    <row r="19" spans="7:7">
      <c r="G19" s="333"/>
    </row>
    <row r="20" spans="7:7">
      <c r="G20" s="333"/>
    </row>
    <row r="21" spans="7:7">
      <c r="G21" s="333"/>
    </row>
    <row r="22" spans="7:7">
      <c r="G22" s="334"/>
    </row>
    <row r="23" spans="7:7">
      <c r="G23" s="334"/>
    </row>
    <row r="24" spans="7:7">
      <c r="G24" s="334"/>
    </row>
    <row r="25" spans="7:7">
      <c r="G25" s="334"/>
    </row>
    <row r="26" spans="7:7">
      <c r="G26" s="334"/>
    </row>
    <row r="27" spans="7:7">
      <c r="G27" s="334"/>
    </row>
    <row r="28" spans="7:7">
      <c r="G28" s="334"/>
    </row>
    <row r="29" spans="7:7">
      <c r="G29" s="334"/>
    </row>
    <row r="30" spans="7:7">
      <c r="G30" s="334"/>
    </row>
    <row r="31" spans="7:7">
      <c r="G31" s="334"/>
    </row>
  </sheetData>
  <sheetProtection password="DD41" sheet="1" formatColumns="0" selectLockedCells="1" selectUnlockedCells="1"/>
  <dataConsolidate/>
  <mergeCells count="2">
    <mergeCell ref="D2:J2"/>
    <mergeCell ref="A1:J1"/>
  </mergeCells>
  <phoneticPr fontId="29" type="noConversion"/>
  <printOptions horizontalCentered="1" verticalCentered="1"/>
  <pageMargins left="0" right="0" top="0.15748031496062992" bottom="0.15748031496062992" header="0.19685039370078741" footer="0.19685039370078741"/>
  <pageSetup paperSize="9" scale="85" orientation="landscape" horizontalDpi="300"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8"/>
  <dimension ref="A1:AJ12"/>
  <sheetViews>
    <sheetView showGridLines="0" zoomScaleNormal="100" workbookViewId="0">
      <pane xSplit="2" ySplit="5" topLeftCell="C6" activePane="bottomRight" state="frozen"/>
      <selection activeCell="A2" sqref="A2"/>
      <selection pane="topRight" activeCell="A2" sqref="A2"/>
      <selection pane="bottomLeft" activeCell="A2" sqref="A2"/>
      <selection pane="bottomRight" activeCell="AA6" sqref="AA6"/>
    </sheetView>
  </sheetViews>
  <sheetFormatPr defaultColWidth="9.33203125" defaultRowHeight="11.25"/>
  <cols>
    <col min="1" max="1" width="39" style="3" customWidth="1"/>
    <col min="2" max="2" width="11.5" style="2" customWidth="1"/>
    <col min="3" max="12" width="12.6640625" style="3" hidden="1" customWidth="1"/>
    <col min="13" max="26" width="9.33203125" style="3" hidden="1" customWidth="1"/>
    <col min="27" max="36" width="12.6640625" style="3" customWidth="1"/>
    <col min="37" max="16384" width="9.33203125" style="3"/>
  </cols>
  <sheetData>
    <row r="1" spans="1:36" ht="24.75" customHeight="1" thickBot="1">
      <c r="A1" s="690" t="str">
        <f>"Amministrazioni incluse nell'elenco ISTAT art. 1 c.3 legge 196/2009 (lista S13)"&amp;" - anno "&amp;$L$1</f>
        <v>Amministrazioni incluse nell'elenco ISTAT art. 1 c.3 legge 196/2009 (lista S13) - anno 2023</v>
      </c>
      <c r="B1" s="690"/>
      <c r="C1" s="690"/>
      <c r="D1" s="690"/>
      <c r="E1" s="690"/>
      <c r="F1" s="690"/>
      <c r="G1" s="690"/>
      <c r="H1" s="690"/>
      <c r="I1" s="690"/>
      <c r="J1" s="690"/>
      <c r="K1" s="690"/>
      <c r="L1" s="576">
        <v>2023</v>
      </c>
      <c r="M1" s="690"/>
      <c r="N1" s="690"/>
      <c r="O1" s="690"/>
      <c r="P1" s="690"/>
      <c r="Q1" s="690"/>
      <c r="R1" s="690"/>
      <c r="S1" s="690"/>
      <c r="T1" s="690"/>
      <c r="U1" s="690"/>
      <c r="V1" s="690"/>
      <c r="W1" s="690"/>
      <c r="X1" s="690"/>
      <c r="Y1" s="690"/>
      <c r="Z1" s="690"/>
      <c r="AA1" s="690"/>
      <c r="AB1" s="690"/>
      <c r="AC1" s="690"/>
      <c r="AD1" s="690"/>
      <c r="AE1" s="690"/>
      <c r="AF1" s="690"/>
      <c r="AG1" s="690"/>
      <c r="AH1" s="690"/>
      <c r="AI1" s="690"/>
      <c r="AJ1" s="576"/>
    </row>
    <row r="2" spans="1:36" ht="30" customHeight="1" thickBot="1">
      <c r="A2" s="5"/>
      <c r="G2" s="889"/>
      <c r="H2" s="890"/>
      <c r="I2" s="890"/>
      <c r="J2" s="890"/>
      <c r="K2" s="890"/>
      <c r="L2" s="891"/>
      <c r="AE2" s="878"/>
      <c r="AF2" s="878"/>
      <c r="AG2" s="878"/>
      <c r="AH2" s="878"/>
      <c r="AI2" s="878"/>
      <c r="AJ2" s="878"/>
    </row>
    <row r="3" spans="1:36" ht="15" customHeight="1" thickBot="1">
      <c r="A3" s="337"/>
      <c r="B3" s="338"/>
      <c r="C3" s="882" t="s">
        <v>55</v>
      </c>
      <c r="D3" s="882"/>
      <c r="E3" s="882"/>
      <c r="F3" s="882"/>
      <c r="G3" s="883"/>
      <c r="H3" s="883"/>
      <c r="I3" s="883"/>
      <c r="J3" s="883"/>
      <c r="K3" s="883"/>
      <c r="L3" s="884"/>
      <c r="AA3" s="879" t="s">
        <v>55</v>
      </c>
      <c r="AB3" s="880"/>
      <c r="AC3" s="880"/>
      <c r="AD3" s="880"/>
      <c r="AE3" s="880"/>
      <c r="AF3" s="880"/>
      <c r="AG3" s="880"/>
      <c r="AH3" s="880"/>
      <c r="AI3" s="880"/>
      <c r="AJ3" s="881"/>
    </row>
    <row r="4" spans="1:36" ht="23.25" thickTop="1">
      <c r="A4" s="885" t="s">
        <v>123</v>
      </c>
      <c r="B4" s="887" t="s">
        <v>56</v>
      </c>
      <c r="C4" s="13" t="str">
        <f>"Totale dipendenti al 31/12/"&amp;L1-1&amp;" (*)"</f>
        <v>Totale dipendenti al 31/12/2022 (*)</v>
      </c>
      <c r="D4" s="12"/>
      <c r="E4" s="11" t="s">
        <v>60</v>
      </c>
      <c r="F4" s="12"/>
      <c r="G4" s="13" t="s">
        <v>115</v>
      </c>
      <c r="H4" s="12"/>
      <c r="I4" s="13" t="s">
        <v>116</v>
      </c>
      <c r="J4" s="12"/>
      <c r="K4" s="13" t="str">
        <f>"Totale dipendenti al 31/12/"&amp;L1&amp;" (**)"</f>
        <v>Totale dipendenti al 31/12/2023 (**)</v>
      </c>
      <c r="L4" s="274"/>
      <c r="AA4" s="715" t="str">
        <f>"Totale dipendenti al 31/12/"&amp;L1-1&amp;" (*)"</f>
        <v>Totale dipendenti al 31/12/2022 (*)</v>
      </c>
      <c r="AB4" s="716"/>
      <c r="AC4" s="717" t="s">
        <v>60</v>
      </c>
      <c r="AD4" s="716"/>
      <c r="AE4" s="715" t="s">
        <v>115</v>
      </c>
      <c r="AF4" s="716"/>
      <c r="AG4" s="715" t="s">
        <v>116</v>
      </c>
      <c r="AH4" s="716"/>
      <c r="AI4" s="715" t="str">
        <f>"Totale dipendenti al 31/12/"&amp;L1&amp;" (**)"</f>
        <v>Totale dipendenti al 31/12/2023 (**)</v>
      </c>
      <c r="AJ4" s="274"/>
    </row>
    <row r="5" spans="1:36" ht="12" thickBot="1">
      <c r="A5" s="886"/>
      <c r="B5" s="888"/>
      <c r="C5" s="221" t="s">
        <v>57</v>
      </c>
      <c r="D5" s="222" t="s">
        <v>58</v>
      </c>
      <c r="E5" s="221" t="s">
        <v>57</v>
      </c>
      <c r="F5" s="222" t="s">
        <v>58</v>
      </c>
      <c r="G5" s="221" t="s">
        <v>57</v>
      </c>
      <c r="H5" s="222" t="s">
        <v>58</v>
      </c>
      <c r="I5" s="221" t="s">
        <v>57</v>
      </c>
      <c r="J5" s="222" t="s">
        <v>58</v>
      </c>
      <c r="K5" s="221" t="s">
        <v>57</v>
      </c>
      <c r="L5" s="275" t="s">
        <v>58</v>
      </c>
      <c r="AA5" s="221" t="s">
        <v>57</v>
      </c>
      <c r="AB5" s="222" t="s">
        <v>58</v>
      </c>
      <c r="AC5" s="221" t="s">
        <v>57</v>
      </c>
      <c r="AD5" s="222" t="s">
        <v>58</v>
      </c>
      <c r="AE5" s="221" t="s">
        <v>57</v>
      </c>
      <c r="AF5" s="222" t="s">
        <v>58</v>
      </c>
      <c r="AG5" s="221" t="s">
        <v>57</v>
      </c>
      <c r="AH5" s="222" t="s">
        <v>58</v>
      </c>
      <c r="AI5" s="221" t="s">
        <v>57</v>
      </c>
      <c r="AJ5" s="275" t="s">
        <v>58</v>
      </c>
    </row>
    <row r="6" spans="1:36" ht="12.75" customHeight="1" thickTop="1">
      <c r="A6" s="139" t="s">
        <v>393</v>
      </c>
      <c r="B6" s="331" t="s">
        <v>394</v>
      </c>
      <c r="C6" s="665">
        <f t="shared" ref="C6:J7" si="0">ROUND(AA6,0)</f>
        <v>0</v>
      </c>
      <c r="D6" s="666">
        <f t="shared" si="0"/>
        <v>0</v>
      </c>
      <c r="E6" s="667">
        <f t="shared" si="0"/>
        <v>0</v>
      </c>
      <c r="F6" s="668">
        <f t="shared" si="0"/>
        <v>0</v>
      </c>
      <c r="G6" s="667">
        <f t="shared" si="0"/>
        <v>0</v>
      </c>
      <c r="H6" s="668">
        <f t="shared" si="0"/>
        <v>0</v>
      </c>
      <c r="I6" s="667">
        <f t="shared" si="0"/>
        <v>0</v>
      </c>
      <c r="J6" s="668">
        <f t="shared" si="0"/>
        <v>0</v>
      </c>
      <c r="K6" s="380">
        <f>E6+G6+I6</f>
        <v>0</v>
      </c>
      <c r="L6" s="381">
        <f>F6+H6+J6</f>
        <v>0</v>
      </c>
      <c r="AA6" s="300"/>
      <c r="AB6" s="301"/>
      <c r="AC6" s="189"/>
      <c r="AD6" s="226"/>
      <c r="AE6" s="189"/>
      <c r="AF6" s="226"/>
      <c r="AG6" s="189"/>
      <c r="AH6" s="226"/>
      <c r="AI6" s="380">
        <f>AC6+AE6+AG6</f>
        <v>0</v>
      </c>
      <c r="AJ6" s="381">
        <f>AD6+AF6+AH6</f>
        <v>0</v>
      </c>
    </row>
    <row r="7" spans="1:36" ht="12.75" customHeight="1" thickBot="1">
      <c r="A7" s="139" t="s">
        <v>455</v>
      </c>
      <c r="B7" s="332" t="s">
        <v>395</v>
      </c>
      <c r="C7" s="665">
        <f t="shared" si="0"/>
        <v>0</v>
      </c>
      <c r="D7" s="666">
        <f t="shared" si="0"/>
        <v>0</v>
      </c>
      <c r="E7" s="667">
        <f t="shared" si="0"/>
        <v>0</v>
      </c>
      <c r="F7" s="668">
        <f t="shared" si="0"/>
        <v>0</v>
      </c>
      <c r="G7" s="667">
        <f t="shared" si="0"/>
        <v>0</v>
      </c>
      <c r="H7" s="668">
        <f t="shared" si="0"/>
        <v>0</v>
      </c>
      <c r="I7" s="667">
        <f t="shared" si="0"/>
        <v>0</v>
      </c>
      <c r="J7" s="668">
        <f t="shared" si="0"/>
        <v>0</v>
      </c>
      <c r="K7" s="380">
        <f>E7+G7+I7</f>
        <v>0</v>
      </c>
      <c r="L7" s="381">
        <f>F7+H7+J7</f>
        <v>0</v>
      </c>
      <c r="AA7" s="300"/>
      <c r="AB7" s="301"/>
      <c r="AC7" s="189"/>
      <c r="AD7" s="226"/>
      <c r="AE7" s="189"/>
      <c r="AF7" s="226"/>
      <c r="AG7" s="189"/>
      <c r="AH7" s="226"/>
      <c r="AI7" s="380">
        <f>AC7+AE7+AG7</f>
        <v>0</v>
      </c>
      <c r="AJ7" s="381">
        <f>AD7+AF7+AH7</f>
        <v>0</v>
      </c>
    </row>
    <row r="8" spans="1:36" ht="15.75" customHeight="1" thickTop="1" thickBot="1">
      <c r="A8" s="273" t="s">
        <v>59</v>
      </c>
      <c r="B8" s="9"/>
      <c r="C8" s="382">
        <f t="shared" ref="C8:L8" si="1">SUM(C6:C7)</f>
        <v>0</v>
      </c>
      <c r="D8" s="383">
        <f t="shared" si="1"/>
        <v>0</v>
      </c>
      <c r="E8" s="382">
        <f t="shared" si="1"/>
        <v>0</v>
      </c>
      <c r="F8" s="383">
        <f t="shared" si="1"/>
        <v>0</v>
      </c>
      <c r="G8" s="382">
        <f t="shared" si="1"/>
        <v>0</v>
      </c>
      <c r="H8" s="383">
        <f t="shared" si="1"/>
        <v>0</v>
      </c>
      <c r="I8" s="382">
        <f t="shared" si="1"/>
        <v>0</v>
      </c>
      <c r="J8" s="383">
        <f t="shared" si="1"/>
        <v>0</v>
      </c>
      <c r="K8" s="382">
        <f t="shared" si="1"/>
        <v>0</v>
      </c>
      <c r="L8" s="384">
        <f t="shared" si="1"/>
        <v>0</v>
      </c>
      <c r="AA8" s="382">
        <f t="shared" ref="AA8:AJ8" si="2">SUM(AA6:AA7)</f>
        <v>0</v>
      </c>
      <c r="AB8" s="383">
        <f t="shared" si="2"/>
        <v>0</v>
      </c>
      <c r="AC8" s="382">
        <f t="shared" si="2"/>
        <v>0</v>
      </c>
      <c r="AD8" s="383">
        <f t="shared" si="2"/>
        <v>0</v>
      </c>
      <c r="AE8" s="382">
        <f t="shared" si="2"/>
        <v>0</v>
      </c>
      <c r="AF8" s="383">
        <f t="shared" si="2"/>
        <v>0</v>
      </c>
      <c r="AG8" s="382">
        <f t="shared" si="2"/>
        <v>0</v>
      </c>
      <c r="AH8" s="383">
        <f t="shared" si="2"/>
        <v>0</v>
      </c>
      <c r="AI8" s="382">
        <f t="shared" si="2"/>
        <v>0</v>
      </c>
      <c r="AJ8" s="384">
        <f t="shared" si="2"/>
        <v>0</v>
      </c>
    </row>
    <row r="9" spans="1:36" ht="7.15" hidden="1" customHeight="1">
      <c r="A9" s="635"/>
      <c r="C9" s="636"/>
      <c r="D9" s="636"/>
      <c r="E9" s="636"/>
      <c r="F9" s="636"/>
      <c r="G9" s="636"/>
      <c r="H9" s="636"/>
      <c r="I9" s="636"/>
      <c r="J9" s="636"/>
      <c r="K9" s="636"/>
      <c r="L9" s="636"/>
      <c r="AA9" s="636"/>
      <c r="AB9" s="636"/>
      <c r="AC9" s="636"/>
      <c r="AD9" s="636"/>
      <c r="AE9" s="636"/>
      <c r="AF9" s="636"/>
      <c r="AG9" s="636"/>
      <c r="AH9" s="636"/>
      <c r="AI9" s="636"/>
      <c r="AJ9" s="636"/>
    </row>
    <row r="10" spans="1:36">
      <c r="A10" s="637" t="str">
        <f>"(*) inserire i dati comunicati nella tab.1 (colonna presenti al 31/12/"&amp;L1-1&amp;") della rilevazione dell'anno precedente"</f>
        <v>(*) inserire i dati comunicati nella tab.1 (colonna presenti al 31/12/2022) della rilevazione dell'anno precedente</v>
      </c>
    </row>
    <row r="11" spans="1:36">
      <c r="A11" s="3" t="s">
        <v>137</v>
      </c>
    </row>
    <row r="12" spans="1:36" ht="12.75">
      <c r="D12" s="638"/>
      <c r="AB12" s="638"/>
    </row>
  </sheetData>
  <sheetProtection algorithmName="SHA-512" hashValue="wZj+4ly3eHH4KQaFxDgeIAprv0dMstfgVtQhvTLWFavvcHH2M0nfLuSofkOl79BKTMhl9vhXxcByEViaKg3Uvw==" saltValue="wrOHj/+WlzqS5TjjLf2ugQ==" spinCount="100000" sheet="1" formatColumns="0" selectLockedCells="1"/>
  <mergeCells count="6">
    <mergeCell ref="AE2:AJ2"/>
    <mergeCell ref="AA3:AJ3"/>
    <mergeCell ref="C3:L3"/>
    <mergeCell ref="A4:A5"/>
    <mergeCell ref="B4:B5"/>
    <mergeCell ref="G2:L2"/>
  </mergeCells>
  <phoneticPr fontId="29" type="noConversion"/>
  <printOptions horizontalCentered="1" verticalCentered="1"/>
  <pageMargins left="0" right="0" top="0.17" bottom="0.16" header="0.18" footer="0.2"/>
  <pageSetup paperSize="9" scale="75" orientation="landscape" horizontalDpi="300" verticalDpi="4294967292"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3"/>
  <dimension ref="A1:M9"/>
  <sheetViews>
    <sheetView showGridLines="0" workbookViewId="0">
      <pane xSplit="2" ySplit="6" topLeftCell="C7" activePane="bottomRight" state="frozen"/>
      <selection activeCell="A2" sqref="A2"/>
      <selection pane="topRight" activeCell="A2" sqref="A2"/>
      <selection pane="bottomLeft" activeCell="A2" sqref="A2"/>
      <selection pane="bottomRight" activeCell="A3" sqref="A3"/>
    </sheetView>
  </sheetViews>
  <sheetFormatPr defaultColWidth="9.33203125" defaultRowHeight="11.25"/>
  <cols>
    <col min="1" max="1" width="35.6640625" style="3" customWidth="1"/>
    <col min="2" max="2" width="12.5" style="2" customWidth="1"/>
    <col min="3" max="3" width="11" style="2" customWidth="1"/>
    <col min="4" max="5" width="12.5" style="2" customWidth="1"/>
    <col min="6" max="7" width="10.6640625" style="2" customWidth="1"/>
    <col min="8" max="8" width="11" style="2" customWidth="1"/>
    <col min="9" max="10" width="12.5" style="2" customWidth="1"/>
    <col min="11" max="11" width="10.6640625" style="2" customWidth="1"/>
    <col min="12" max="12" width="10.6640625" style="3" customWidth="1"/>
    <col min="13" max="16384" width="9.33203125" style="3"/>
  </cols>
  <sheetData>
    <row r="1" spans="1:13" ht="43.5" customHeight="1">
      <c r="A1" s="894" t="str">
        <f>'t1'!A1</f>
        <v>Amministrazioni incluse nell'elenco ISTAT art. 1 c.3 legge 196/2009 (lista S13) - anno 2023</v>
      </c>
      <c r="B1" s="894"/>
      <c r="C1" s="894"/>
      <c r="D1" s="894"/>
      <c r="E1" s="894"/>
      <c r="F1" s="894"/>
      <c r="G1" s="894"/>
      <c r="H1" s="894"/>
      <c r="I1" s="894"/>
      <c r="J1" s="894"/>
      <c r="K1" s="894"/>
      <c r="L1" s="894"/>
      <c r="M1"/>
    </row>
    <row r="2" spans="1:13" ht="12.75" customHeight="1">
      <c r="B2" s="3"/>
      <c r="C2" s="3"/>
      <c r="D2" s="3"/>
      <c r="E2" s="983"/>
      <c r="F2" s="983"/>
      <c r="G2" s="983"/>
      <c r="H2" s="983"/>
      <c r="I2" s="983"/>
      <c r="J2" s="983"/>
      <c r="K2" s="983"/>
      <c r="L2" s="983"/>
      <c r="M2"/>
    </row>
    <row r="3" spans="1:13" ht="21" customHeight="1">
      <c r="A3" s="176" t="str">
        <f>"Tavola di coerenza tra presenti al 31.12."&amp;'t1'!L1&amp;" rilevati nelle Tabelle 1, 7, 8 e 9 (Squadratura 2)"</f>
        <v>Tavola di coerenza tra presenti al 31.12.2023 rilevati nelle Tabelle 1, 7, 8 e 9 (Squadratura 2)</v>
      </c>
      <c r="C3" s="3"/>
      <c r="D3" s="3"/>
      <c r="E3" s="3"/>
      <c r="F3" s="3"/>
      <c r="G3" s="3"/>
      <c r="H3" s="3"/>
      <c r="I3" s="3"/>
      <c r="J3" s="3"/>
      <c r="K3" s="3"/>
    </row>
    <row r="4" spans="1:13" s="94" customFormat="1" ht="11.25" customHeight="1">
      <c r="A4" s="168"/>
      <c r="B4" s="168"/>
      <c r="C4" s="984" t="s">
        <v>238</v>
      </c>
      <c r="D4" s="985"/>
      <c r="E4" s="985"/>
      <c r="F4" s="985"/>
      <c r="G4" s="986"/>
      <c r="H4" s="984" t="s">
        <v>239</v>
      </c>
      <c r="I4" s="985"/>
      <c r="J4" s="985"/>
      <c r="K4" s="985"/>
      <c r="L4" s="986"/>
    </row>
    <row r="5" spans="1:13" ht="70.5" customHeight="1">
      <c r="A5" s="160" t="s">
        <v>179</v>
      </c>
      <c r="B5" s="160" t="s">
        <v>178</v>
      </c>
      <c r="C5" s="167" t="str">
        <f>"Presenti 31.12."&amp;'t1'!L1&amp;" (Tab 1)"</f>
        <v>Presenti 31.12.2023 (Tab 1)</v>
      </c>
      <c r="D5" s="164" t="s">
        <v>189</v>
      </c>
      <c r="E5" s="164" t="s">
        <v>190</v>
      </c>
      <c r="F5" s="164" t="s">
        <v>11</v>
      </c>
      <c r="G5" s="164" t="s">
        <v>188</v>
      </c>
      <c r="H5" s="167" t="str">
        <f>"Presenti 31.12."&amp;'t1'!L1&amp;" (Tab 1)"</f>
        <v>Presenti 31.12.2023 (Tab 1)</v>
      </c>
      <c r="I5" s="164" t="s">
        <v>189</v>
      </c>
      <c r="J5" s="164" t="s">
        <v>190</v>
      </c>
      <c r="K5" s="164" t="s">
        <v>11</v>
      </c>
      <c r="L5" s="164" t="s">
        <v>188</v>
      </c>
    </row>
    <row r="6" spans="1:13">
      <c r="A6" s="161"/>
      <c r="B6" s="161"/>
      <c r="C6" s="169" t="s">
        <v>180</v>
      </c>
      <c r="D6" s="169" t="s">
        <v>181</v>
      </c>
      <c r="E6" s="169" t="s">
        <v>182</v>
      </c>
      <c r="F6" s="169" t="s">
        <v>183</v>
      </c>
      <c r="G6" s="170" t="s">
        <v>206</v>
      </c>
      <c r="H6" s="169" t="s">
        <v>184</v>
      </c>
      <c r="I6" s="169" t="s">
        <v>204</v>
      </c>
      <c r="J6" s="169" t="s">
        <v>186</v>
      </c>
      <c r="K6" s="169" t="s">
        <v>194</v>
      </c>
      <c r="L6" s="170" t="s">
        <v>207</v>
      </c>
    </row>
    <row r="7" spans="1:13" ht="12.75" customHeight="1">
      <c r="A7" s="121" t="str">
        <f>'t1'!A6</f>
        <v>PERSONALE DIRIGENTE</v>
      </c>
      <c r="B7" s="166" t="str">
        <f>'t1'!B6</f>
        <v>0D00NF</v>
      </c>
      <c r="C7" s="313">
        <f>'t1'!K6</f>
        <v>0</v>
      </c>
      <c r="D7" s="313">
        <f>'t7'!W6</f>
        <v>0</v>
      </c>
      <c r="E7" s="314">
        <f>'t8'!AA6</f>
        <v>0</v>
      </c>
      <c r="F7" s="314">
        <f>'t9'!O6</f>
        <v>0</v>
      </c>
      <c r="G7" s="95" t="str">
        <f>IF(COUNTIF(C7:F7,C7)=4,"OK","ERRORE")</f>
        <v>OK</v>
      </c>
      <c r="H7" s="314">
        <f>'t1'!L6</f>
        <v>0</v>
      </c>
      <c r="I7" s="314">
        <f>'t7'!X6</f>
        <v>0</v>
      </c>
      <c r="J7" s="314">
        <f>'t8'!AB6</f>
        <v>0</v>
      </c>
      <c r="K7" s="313">
        <f>'t9'!P6</f>
        <v>0</v>
      </c>
      <c r="L7" s="95" t="str">
        <f>IF(COUNTIF(H7:K7,H7)=4,"OK","ERRORE")</f>
        <v>OK</v>
      </c>
    </row>
    <row r="8" spans="1:13" ht="12.75" customHeight="1">
      <c r="A8" s="121" t="str">
        <f>'t1'!A7</f>
        <v>PERSONALE NON DIRIGENTE</v>
      </c>
      <c r="B8" s="166" t="str">
        <f>'t1'!B7</f>
        <v>0000ND</v>
      </c>
      <c r="C8" s="313">
        <f>'t1'!K7</f>
        <v>0</v>
      </c>
      <c r="D8" s="313">
        <f>'t7'!W7</f>
        <v>0</v>
      </c>
      <c r="E8" s="314">
        <f>'t8'!AA7</f>
        <v>0</v>
      </c>
      <c r="F8" s="314">
        <f>'t9'!O7</f>
        <v>0</v>
      </c>
      <c r="G8" s="95" t="str">
        <f>IF(COUNTIF(C8:F8,C8)=4,"OK","ERRORE")</f>
        <v>OK</v>
      </c>
      <c r="H8" s="314">
        <f>'t1'!L7</f>
        <v>0</v>
      </c>
      <c r="I8" s="314">
        <f>'t7'!X7</f>
        <v>0</v>
      </c>
      <c r="J8" s="314">
        <f>'t8'!AB7</f>
        <v>0</v>
      </c>
      <c r="K8" s="313">
        <f>'t9'!P7</f>
        <v>0</v>
      </c>
      <c r="L8" s="95" t="str">
        <f>IF(COUNTIF(H8:K8,H8)=4,"OK","ERRORE")</f>
        <v>OK</v>
      </c>
    </row>
    <row r="9" spans="1:13" ht="15.75" customHeight="1">
      <c r="A9" s="121" t="str">
        <f>'t1'!A8</f>
        <v>TOTALE</v>
      </c>
      <c r="B9" s="158"/>
      <c r="C9" s="314">
        <f>SUM(C7:C8)</f>
        <v>0</v>
      </c>
      <c r="D9" s="314">
        <f>SUM(D7:D8)</f>
        <v>0</v>
      </c>
      <c r="E9" s="314">
        <f>SUM(E7:E8)</f>
        <v>0</v>
      </c>
      <c r="F9" s="314">
        <f>SUM(F7:F8)</f>
        <v>0</v>
      </c>
      <c r="G9" s="95" t="str">
        <f>IF(COUNTIF(C9:F9,C9)=4,"OK","ERRORE")</f>
        <v>OK</v>
      </c>
      <c r="H9" s="314">
        <f>SUM(H7:H8)</f>
        <v>0</v>
      </c>
      <c r="I9" s="314">
        <f>SUM(I7:I8)</f>
        <v>0</v>
      </c>
      <c r="J9" s="314">
        <f>SUM(J7:J8)</f>
        <v>0</v>
      </c>
      <c r="K9" s="314">
        <f>SUM(K7:K8)</f>
        <v>0</v>
      </c>
      <c r="L9" s="95" t="str">
        <f>IF(COUNTIF(H9:K9,H9)=4,"OK","ERRORE")</f>
        <v>OK</v>
      </c>
    </row>
  </sheetData>
  <sheetProtection password="DD41" sheet="1" formatColumns="0" selectLockedCells="1" selectUnlockedCells="1"/>
  <mergeCells count="4">
    <mergeCell ref="C4:G4"/>
    <mergeCell ref="H4:L4"/>
    <mergeCell ref="E2:L2"/>
    <mergeCell ref="A1:L1"/>
  </mergeCells>
  <phoneticPr fontId="29" type="noConversion"/>
  <printOptions horizontalCentered="1" verticalCentered="1"/>
  <pageMargins left="0" right="0" top="0.15748031496062992" bottom="0.15748031496062992" header="0.19685039370078741" footer="0.15748031496062992"/>
  <pageSetup paperSize="9" scale="80" orientation="landscape" horizontalDpi="300" verticalDpi="4294967292"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4">
    <tabColor indexed="10"/>
  </sheetPr>
  <dimension ref="A1:Z10"/>
  <sheetViews>
    <sheetView showGridLines="0" workbookViewId="0">
      <pane xSplit="2" ySplit="7" topLeftCell="C8" activePane="bottomRight" state="frozen"/>
      <selection activeCell="A2" sqref="A2"/>
      <selection pane="topRight" activeCell="A2" sqref="A2"/>
      <selection pane="bottomLeft" activeCell="A2" sqref="A2"/>
      <selection pane="bottomRight" activeCell="A7" sqref="A7"/>
    </sheetView>
  </sheetViews>
  <sheetFormatPr defaultColWidth="9.33203125" defaultRowHeight="11.25"/>
  <cols>
    <col min="1" max="1" width="37.33203125" style="3" customWidth="1"/>
    <col min="2" max="2" width="11" style="2" customWidth="1"/>
    <col min="3" max="3" width="10.6640625" style="2" customWidth="1"/>
    <col min="4" max="5" width="12.6640625" style="2" customWidth="1"/>
    <col min="6" max="6" width="13.6640625" style="2" customWidth="1"/>
    <col min="7" max="10" width="12.6640625" style="2" customWidth="1"/>
    <col min="11" max="13" width="13.33203125" style="2" customWidth="1"/>
    <col min="14" max="14" width="12.6640625" style="2" bestFit="1" customWidth="1"/>
    <col min="15" max="15" width="10.6640625" style="2" customWidth="1"/>
    <col min="16" max="22" width="12.6640625" style="2" customWidth="1"/>
    <col min="23" max="25" width="13.33203125" style="2" customWidth="1"/>
    <col min="26" max="26" width="12.6640625" style="2" bestFit="1" customWidth="1"/>
    <col min="27" max="16384" width="9.33203125" style="3"/>
  </cols>
  <sheetData>
    <row r="1" spans="1:26" ht="30" customHeight="1">
      <c r="A1" s="912" t="str">
        <f>'t1'!A1</f>
        <v>Amministrazioni incluse nell'elenco ISTAT art. 1 c.3 legge 196/2009 (lista S13) - anno 2023</v>
      </c>
      <c r="B1" s="912"/>
      <c r="C1" s="912"/>
      <c r="D1" s="912"/>
      <c r="E1" s="912"/>
      <c r="F1" s="912"/>
      <c r="G1" s="912"/>
      <c r="H1" s="912"/>
      <c r="I1" s="912"/>
      <c r="J1" s="912"/>
      <c r="K1" s="912"/>
      <c r="L1" s="912"/>
      <c r="M1" s="912"/>
      <c r="N1" s="912"/>
      <c r="O1" s="912"/>
      <c r="P1" s="912"/>
      <c r="Q1" s="912"/>
      <c r="R1" s="912"/>
      <c r="S1" s="912"/>
      <c r="T1" s="912"/>
      <c r="U1" s="912"/>
      <c r="V1" s="912"/>
      <c r="W1" s="912"/>
      <c r="X1" s="3"/>
      <c r="Z1" s="584"/>
    </row>
    <row r="2" spans="1:26" ht="36" customHeight="1">
      <c r="A2" s="990" t="s">
        <v>453</v>
      </c>
      <c r="B2" s="990"/>
      <c r="C2" s="990"/>
      <c r="D2" s="990"/>
      <c r="E2" s="990"/>
      <c r="F2" s="990"/>
      <c r="G2" s="990"/>
      <c r="H2" s="990"/>
      <c r="I2" s="990"/>
      <c r="J2" s="990"/>
      <c r="K2" s="990"/>
      <c r="L2" s="990"/>
      <c r="M2" s="639"/>
      <c r="N2" s="652"/>
      <c r="O2" s="433"/>
      <c r="P2" s="433"/>
      <c r="Q2" s="433"/>
      <c r="R2" s="433"/>
      <c r="S2" s="433"/>
      <c r="T2" s="433"/>
      <c r="U2" s="433"/>
      <c r="V2" s="433"/>
      <c r="W2" s="433"/>
      <c r="X2" s="433"/>
      <c r="Y2" s="639"/>
      <c r="Z2" s="433"/>
    </row>
    <row r="3" spans="1:26" ht="18.75" customHeight="1">
      <c r="A3" s="176" t="str">
        <f>"Tavola di coerenza tra presenti al 31.12."&amp;'t1'!L1&amp;" rilevati in Tabella 1 con il personale rilevato in Tabella 3 e con i presenti rilevati in Tabella 10 (Squadratura 3)(*)"</f>
        <v>Tavola di coerenza tra presenti al 31.12.2023 rilevati in Tabella 1 con il personale rilevato in Tabella 3 e con i presenti rilevati in Tabella 10 (Squadratura 3)(*)</v>
      </c>
      <c r="C3" s="3"/>
      <c r="D3" s="3"/>
      <c r="E3" s="3"/>
      <c r="F3" s="3"/>
      <c r="G3" s="3"/>
      <c r="H3" s="3"/>
      <c r="I3" s="3"/>
      <c r="J3" s="3"/>
      <c r="K3" s="3"/>
      <c r="L3" s="3"/>
      <c r="O3" s="3"/>
      <c r="P3" s="3"/>
      <c r="Q3" s="3"/>
      <c r="R3" s="3"/>
      <c r="S3" s="3"/>
      <c r="T3" s="3"/>
      <c r="U3" s="3"/>
      <c r="V3" s="3"/>
      <c r="W3" s="3"/>
      <c r="X3" s="3"/>
      <c r="Z3" s="3"/>
    </row>
    <row r="4" spans="1:26" ht="12">
      <c r="A4" s="293" t="s">
        <v>209</v>
      </c>
      <c r="C4" s="3"/>
      <c r="D4" s="3"/>
      <c r="E4" s="3"/>
      <c r="F4" s="3"/>
      <c r="G4" s="3"/>
      <c r="H4" s="3"/>
      <c r="I4" s="3"/>
      <c r="J4" s="3"/>
      <c r="K4" s="3"/>
      <c r="L4" s="3"/>
      <c r="O4" s="3"/>
      <c r="P4" s="3"/>
      <c r="Q4" s="3"/>
      <c r="R4" s="3"/>
      <c r="S4" s="3"/>
      <c r="T4" s="3"/>
      <c r="U4" s="3"/>
      <c r="V4" s="3"/>
      <c r="W4" s="3"/>
      <c r="X4" s="3"/>
      <c r="Z4" s="3"/>
    </row>
    <row r="5" spans="1:26" ht="12.75">
      <c r="A5" s="161"/>
      <c r="B5" s="95"/>
      <c r="C5" s="987" t="s">
        <v>238</v>
      </c>
      <c r="D5" s="988"/>
      <c r="E5" s="988"/>
      <c r="F5" s="988"/>
      <c r="G5" s="988"/>
      <c r="H5" s="988"/>
      <c r="I5" s="988"/>
      <c r="J5" s="988"/>
      <c r="K5" s="988"/>
      <c r="L5" s="988"/>
      <c r="M5" s="988"/>
      <c r="N5" s="988"/>
      <c r="O5" s="987" t="s">
        <v>239</v>
      </c>
      <c r="P5" s="988"/>
      <c r="Q5" s="988"/>
      <c r="R5" s="988"/>
      <c r="S5" s="988"/>
      <c r="T5" s="988"/>
      <c r="U5" s="988"/>
      <c r="V5" s="988"/>
      <c r="W5" s="988"/>
      <c r="X5" s="988"/>
      <c r="Y5" s="988"/>
      <c r="Z5" s="989"/>
    </row>
    <row r="6" spans="1:26" s="175" customFormat="1" ht="64.5" customHeight="1">
      <c r="A6" s="164" t="s">
        <v>179</v>
      </c>
      <c r="B6" s="164" t="s">
        <v>178</v>
      </c>
      <c r="C6" s="164" t="str">
        <f>"Presenti 31.12."&amp;'t1'!L1&amp;" (Tab 1)"</f>
        <v>Presenti 31.12.2023 (Tab 1)</v>
      </c>
      <c r="D6" s="164" t="s">
        <v>192</v>
      </c>
      <c r="E6" s="164" t="s">
        <v>191</v>
      </c>
      <c r="F6" s="164" t="s">
        <v>285</v>
      </c>
      <c r="G6" s="164" t="s">
        <v>208</v>
      </c>
      <c r="H6" s="164" t="s">
        <v>193</v>
      </c>
      <c r="I6" s="164" t="s">
        <v>286</v>
      </c>
      <c r="J6" s="492" t="s">
        <v>495</v>
      </c>
      <c r="K6" s="164" t="s">
        <v>210</v>
      </c>
      <c r="L6" s="164" t="s">
        <v>211</v>
      </c>
      <c r="M6" s="492" t="s">
        <v>448</v>
      </c>
      <c r="N6" s="492" t="s">
        <v>449</v>
      </c>
      <c r="O6" s="164" t="str">
        <f>"Presenti 31.12."&amp;'t1'!L1&amp;" (Tab 1)"</f>
        <v>Presenti 31.12.2023 (Tab 1)</v>
      </c>
      <c r="P6" s="164" t="s">
        <v>192</v>
      </c>
      <c r="Q6" s="164" t="s">
        <v>191</v>
      </c>
      <c r="R6" s="164" t="s">
        <v>285</v>
      </c>
      <c r="S6" s="164" t="s">
        <v>208</v>
      </c>
      <c r="T6" s="164" t="s">
        <v>193</v>
      </c>
      <c r="U6" s="164" t="s">
        <v>286</v>
      </c>
      <c r="V6" s="492" t="s">
        <v>495</v>
      </c>
      <c r="W6" s="164" t="s">
        <v>210</v>
      </c>
      <c r="X6" s="164" t="s">
        <v>211</v>
      </c>
      <c r="Y6" s="492" t="s">
        <v>448</v>
      </c>
      <c r="Z6" s="492" t="s">
        <v>449</v>
      </c>
    </row>
    <row r="7" spans="1:26" s="173" customFormat="1" ht="21.75">
      <c r="A7" s="172"/>
      <c r="B7" s="172"/>
      <c r="C7" s="169" t="s">
        <v>180</v>
      </c>
      <c r="D7" s="169" t="s">
        <v>181</v>
      </c>
      <c r="E7" s="169" t="s">
        <v>182</v>
      </c>
      <c r="F7" s="169" t="s">
        <v>183</v>
      </c>
      <c r="G7" s="170" t="s">
        <v>184</v>
      </c>
      <c r="H7" s="170" t="s">
        <v>204</v>
      </c>
      <c r="I7" s="170" t="s">
        <v>186</v>
      </c>
      <c r="J7" s="170" t="s">
        <v>195</v>
      </c>
      <c r="K7" s="170" t="s">
        <v>4</v>
      </c>
      <c r="L7" s="170" t="s">
        <v>5</v>
      </c>
      <c r="M7" s="170" t="s">
        <v>450</v>
      </c>
      <c r="N7" s="170" t="s">
        <v>6</v>
      </c>
      <c r="O7" s="169" t="s">
        <v>196</v>
      </c>
      <c r="P7" s="169" t="s">
        <v>197</v>
      </c>
      <c r="Q7" s="169" t="s">
        <v>198</v>
      </c>
      <c r="R7" s="169" t="s">
        <v>287</v>
      </c>
      <c r="S7" s="170" t="s">
        <v>199</v>
      </c>
      <c r="T7" s="170" t="s">
        <v>288</v>
      </c>
      <c r="U7" s="170" t="s">
        <v>289</v>
      </c>
      <c r="V7" s="170" t="s">
        <v>290</v>
      </c>
      <c r="W7" s="170" t="s">
        <v>7</v>
      </c>
      <c r="X7" s="170" t="s">
        <v>8</v>
      </c>
      <c r="Y7" s="170" t="s">
        <v>451</v>
      </c>
      <c r="Z7" s="170" t="s">
        <v>9</v>
      </c>
    </row>
    <row r="8" spans="1:26" ht="12.75" customHeight="1">
      <c r="A8" s="121" t="str">
        <f>'t1'!A6</f>
        <v>PERSONALE DIRIGENTE</v>
      </c>
      <c r="B8" s="166" t="str">
        <f>'t1'!B6</f>
        <v>0D00NF</v>
      </c>
      <c r="C8" s="313">
        <f>'t1'!K6</f>
        <v>0</v>
      </c>
      <c r="D8" s="313">
        <f>'t3'!K6</f>
        <v>0</v>
      </c>
      <c r="E8" s="314">
        <f>'t3'!M6</f>
        <v>0</v>
      </c>
      <c r="F8" s="314">
        <f>'t3'!O6</f>
        <v>0</v>
      </c>
      <c r="G8" s="314">
        <f>'t3'!C6</f>
        <v>0</v>
      </c>
      <c r="H8" s="314">
        <f>'t3'!E6</f>
        <v>0</v>
      </c>
      <c r="I8" s="314">
        <f>'t3'!G6</f>
        <v>0</v>
      </c>
      <c r="J8" s="314">
        <f>'t3'!I6</f>
        <v>0</v>
      </c>
      <c r="K8" s="314">
        <f>C8+D8+E8+F8-G8-H8-I8-J8</f>
        <v>0</v>
      </c>
      <c r="L8" s="314">
        <f>'t10'!AU6</f>
        <v>0</v>
      </c>
      <c r="M8" s="573" t="str">
        <f>IF(C8&lt;(G8+H8+I8+J8),"ERRORE","OK")</f>
        <v>OK</v>
      </c>
      <c r="N8" s="95" t="str">
        <f>IF(K8=L8,"OK","ERRORE")</f>
        <v>OK</v>
      </c>
      <c r="O8" s="313">
        <f>'t1'!L6</f>
        <v>0</v>
      </c>
      <c r="P8" s="313">
        <f>'t3'!L6</f>
        <v>0</v>
      </c>
      <c r="Q8" s="314">
        <f>'t3'!N6</f>
        <v>0</v>
      </c>
      <c r="R8" s="314">
        <f>'t3'!P6</f>
        <v>0</v>
      </c>
      <c r="S8" s="314">
        <f>'t3'!D6</f>
        <v>0</v>
      </c>
      <c r="T8" s="314">
        <f>'t3'!F6</f>
        <v>0</v>
      </c>
      <c r="U8" s="314">
        <f>'t3'!H6</f>
        <v>0</v>
      </c>
      <c r="V8" s="314">
        <f>'t3'!J6</f>
        <v>0</v>
      </c>
      <c r="W8" s="314">
        <f>O8+P8+Q8+R8-S8-T8-U8-V8</f>
        <v>0</v>
      </c>
      <c r="X8" s="314">
        <f>'t10'!AV6</f>
        <v>0</v>
      </c>
      <c r="Y8" s="573" t="str">
        <f>IF(O8&lt;(S8+T8+U8+V8),"ERRORE","OK")</f>
        <v>OK</v>
      </c>
      <c r="Z8" s="171" t="str">
        <f>IF(W8=X8,"OK","ERRORE")</f>
        <v>OK</v>
      </c>
    </row>
    <row r="9" spans="1:26" ht="12.75" customHeight="1">
      <c r="A9" s="121" t="str">
        <f>'t1'!A7</f>
        <v>PERSONALE NON DIRIGENTE</v>
      </c>
      <c r="B9" s="166" t="str">
        <f>'t1'!B7</f>
        <v>0000ND</v>
      </c>
      <c r="C9" s="313">
        <f>'t1'!K7</f>
        <v>0</v>
      </c>
      <c r="D9" s="313">
        <f>'t3'!K7</f>
        <v>0</v>
      </c>
      <c r="E9" s="314">
        <f>'t3'!M7</f>
        <v>0</v>
      </c>
      <c r="F9" s="314">
        <f>'t3'!O7</f>
        <v>0</v>
      </c>
      <c r="G9" s="314">
        <f>'t3'!C7</f>
        <v>0</v>
      </c>
      <c r="H9" s="314">
        <f>'t3'!E7</f>
        <v>0</v>
      </c>
      <c r="I9" s="314">
        <f>'t3'!G7</f>
        <v>0</v>
      </c>
      <c r="J9" s="314">
        <f>'t3'!I7</f>
        <v>0</v>
      </c>
      <c r="K9" s="314">
        <f>C9+D9+E9+F9-G9-H9-I9-J9</f>
        <v>0</v>
      </c>
      <c r="L9" s="314">
        <f>'t10'!AU7</f>
        <v>0</v>
      </c>
      <c r="M9" s="573" t="str">
        <f>IF(C9&lt;(G9+H9+I9+J9),"ERRORE","OK")</f>
        <v>OK</v>
      </c>
      <c r="N9" s="95" t="str">
        <f>IF(K9=L9,"OK","ERRORE")</f>
        <v>OK</v>
      </c>
      <c r="O9" s="313">
        <f>'t1'!L7</f>
        <v>0</v>
      </c>
      <c r="P9" s="313">
        <f>'t3'!L7</f>
        <v>0</v>
      </c>
      <c r="Q9" s="314">
        <f>'t3'!N7</f>
        <v>0</v>
      </c>
      <c r="R9" s="314">
        <f>'t3'!P7</f>
        <v>0</v>
      </c>
      <c r="S9" s="314">
        <f>'t3'!D7</f>
        <v>0</v>
      </c>
      <c r="T9" s="314">
        <f>'t3'!F7</f>
        <v>0</v>
      </c>
      <c r="U9" s="314">
        <f>'t3'!H7</f>
        <v>0</v>
      </c>
      <c r="V9" s="314">
        <f>'t3'!J7</f>
        <v>0</v>
      </c>
      <c r="W9" s="314">
        <f>O9+P9+Q9+R9-S9-T9-U9-V9</f>
        <v>0</v>
      </c>
      <c r="X9" s="314">
        <f>'t10'!AV7</f>
        <v>0</v>
      </c>
      <c r="Y9" s="573" t="str">
        <f>IF(O9&lt;(S9+T9+U9+V9),"ERRORE","OK")</f>
        <v>OK</v>
      </c>
      <c r="Z9" s="171" t="str">
        <f>IF(W9=X9,"OK","ERRORE")</f>
        <v>OK</v>
      </c>
    </row>
    <row r="10" spans="1:26" ht="15.75" customHeight="1">
      <c r="A10" s="121" t="str">
        <f>'t1'!A8</f>
        <v>TOTALE</v>
      </c>
      <c r="B10" s="158"/>
      <c r="C10" s="313">
        <f t="shared" ref="C10:L10" si="0">SUM(C8:C9)</f>
        <v>0</v>
      </c>
      <c r="D10" s="313">
        <f t="shared" si="0"/>
        <v>0</v>
      </c>
      <c r="E10" s="313">
        <f t="shared" si="0"/>
        <v>0</v>
      </c>
      <c r="F10" s="313">
        <f t="shared" si="0"/>
        <v>0</v>
      </c>
      <c r="G10" s="313">
        <f t="shared" si="0"/>
        <v>0</v>
      </c>
      <c r="H10" s="313">
        <f t="shared" si="0"/>
        <v>0</v>
      </c>
      <c r="I10" s="313">
        <f t="shared" si="0"/>
        <v>0</v>
      </c>
      <c r="J10" s="313">
        <f t="shared" si="0"/>
        <v>0</v>
      </c>
      <c r="K10" s="314">
        <f>C10+D10+E10+F10-G10-H10-I10-J10</f>
        <v>0</v>
      </c>
      <c r="L10" s="313">
        <f t="shared" si="0"/>
        <v>0</v>
      </c>
      <c r="M10" s="573" t="str">
        <f>IF(C10&lt;(G10+H10+I10+J10),"ERRORE","OK")</f>
        <v>OK</v>
      </c>
      <c r="N10" s="95" t="str">
        <f>IF(K10=L10,"OK","ERRORE")</f>
        <v>OK</v>
      </c>
      <c r="O10" s="313">
        <f t="shared" ref="O10:X10" si="1">SUM(O8:O9)</f>
        <v>0</v>
      </c>
      <c r="P10" s="313">
        <f t="shared" si="1"/>
        <v>0</v>
      </c>
      <c r="Q10" s="313">
        <f t="shared" si="1"/>
        <v>0</v>
      </c>
      <c r="R10" s="313">
        <f t="shared" si="1"/>
        <v>0</v>
      </c>
      <c r="S10" s="313">
        <f t="shared" si="1"/>
        <v>0</v>
      </c>
      <c r="T10" s="313">
        <f t="shared" si="1"/>
        <v>0</v>
      </c>
      <c r="U10" s="313">
        <f t="shared" si="1"/>
        <v>0</v>
      </c>
      <c r="V10" s="313">
        <f t="shared" si="1"/>
        <v>0</v>
      </c>
      <c r="W10" s="314">
        <f>O10+P10+Q10+R10-S10-T10-U10-V10</f>
        <v>0</v>
      </c>
      <c r="X10" s="313">
        <f t="shared" si="1"/>
        <v>0</v>
      </c>
      <c r="Y10" s="573" t="str">
        <f>IF(O10&lt;(S10+T10+U10+V10),"ERRORE","OK")</f>
        <v>OK</v>
      </c>
      <c r="Z10" s="171" t="str">
        <f>IF(W10=X10,"OK","ERRORE")</f>
        <v>OK</v>
      </c>
    </row>
  </sheetData>
  <sheetProtection password="DD41" sheet="1" formatColumns="0" selectLockedCells="1" selectUnlockedCells="1"/>
  <mergeCells count="4">
    <mergeCell ref="O5:Z5"/>
    <mergeCell ref="C5:N5"/>
    <mergeCell ref="A1:W1"/>
    <mergeCell ref="A2:L2"/>
  </mergeCells>
  <phoneticPr fontId="29" type="noConversion"/>
  <printOptions horizontalCentered="1" verticalCentered="1"/>
  <pageMargins left="0.19685039370078741" right="0" top="0.15748031496062992" bottom="0.15748031496062992" header="0.19685039370078741" footer="0.19685039370078741"/>
  <pageSetup paperSize="9" scale="80" orientation="landscape" horizontalDpi="300" verticalDpi="4294967292" r:id="rId1"/>
  <headerFooter alignWithMargins="0"/>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5"/>
  <dimension ref="A1:M8"/>
  <sheetViews>
    <sheetView showGridLines="0" workbookViewId="0">
      <pane ySplit="5" topLeftCell="A6" activePane="bottomLeft" state="frozen"/>
      <selection activeCell="A2" sqref="A2"/>
      <selection pane="bottomLeft" activeCell="A2" sqref="A2"/>
    </sheetView>
  </sheetViews>
  <sheetFormatPr defaultColWidth="9.33203125" defaultRowHeight="11.25"/>
  <cols>
    <col min="1" max="1" width="38.5" style="3" customWidth="1"/>
    <col min="2" max="2" width="11.6640625" style="2" customWidth="1"/>
    <col min="3" max="3" width="17" style="2" bestFit="1" customWidth="1"/>
    <col min="4" max="8" width="15.6640625" style="2" customWidth="1"/>
    <col min="9" max="9" width="14.6640625" style="2" customWidth="1"/>
    <col min="10" max="16384" width="9.33203125" style="3"/>
  </cols>
  <sheetData>
    <row r="1" spans="1:13" ht="43.5" customHeight="1">
      <c r="A1" s="894" t="str">
        <f>'t1'!A1</f>
        <v>Amministrazioni incluse nell'elenco ISTAT art. 1 c.3 legge 196/2009 (lista S13) - anno 2023</v>
      </c>
      <c r="B1" s="894"/>
      <c r="C1" s="894"/>
      <c r="D1" s="894"/>
      <c r="E1" s="894"/>
      <c r="F1" s="894"/>
      <c r="G1" s="894"/>
      <c r="H1" s="894"/>
      <c r="I1" s="894"/>
      <c r="M1"/>
    </row>
    <row r="2" spans="1:13" ht="12.75" customHeight="1">
      <c r="B2" s="3"/>
      <c r="C2" s="3"/>
      <c r="D2" s="983"/>
      <c r="E2" s="983"/>
      <c r="F2" s="983"/>
      <c r="G2" s="983"/>
      <c r="H2" s="983"/>
      <c r="I2" s="983"/>
      <c r="J2" s="292"/>
      <c r="M2"/>
    </row>
    <row r="3" spans="1:13" ht="21" customHeight="1">
      <c r="A3" s="176" t="s">
        <v>240</v>
      </c>
      <c r="C3" s="3"/>
      <c r="D3" s="3"/>
      <c r="E3" s="3"/>
      <c r="F3" s="3"/>
      <c r="G3" s="3"/>
      <c r="H3" s="3"/>
      <c r="I3" s="3"/>
    </row>
    <row r="4" spans="1:13" ht="49.5" customHeight="1">
      <c r="A4" s="164" t="s">
        <v>179</v>
      </c>
      <c r="B4" s="164" t="s">
        <v>178</v>
      </c>
      <c r="C4" s="164" t="str">
        <f>"Presenti 31.12 anno precedente (Tab 1)"</f>
        <v>Presenti 31.12 anno precedente (Tab 1)</v>
      </c>
      <c r="D4" s="164" t="s">
        <v>200</v>
      </c>
      <c r="E4" s="164" t="s">
        <v>201</v>
      </c>
      <c r="F4" s="164" t="s">
        <v>202</v>
      </c>
      <c r="G4" s="164" t="s">
        <v>213</v>
      </c>
      <c r="H4" s="164" t="s">
        <v>203</v>
      </c>
      <c r="I4" s="164" t="s">
        <v>170</v>
      </c>
    </row>
    <row r="5" spans="1:13">
      <c r="A5" s="164"/>
      <c r="B5" s="164"/>
      <c r="C5" s="174" t="s">
        <v>180</v>
      </c>
      <c r="D5" s="174" t="s">
        <v>181</v>
      </c>
      <c r="E5" s="174" t="s">
        <v>182</v>
      </c>
      <c r="F5" s="174" t="s">
        <v>183</v>
      </c>
      <c r="G5" s="174" t="s">
        <v>212</v>
      </c>
      <c r="H5" s="174" t="s">
        <v>204</v>
      </c>
      <c r="I5" s="174" t="s">
        <v>205</v>
      </c>
    </row>
    <row r="6" spans="1:13" ht="12.75" customHeight="1">
      <c r="A6" s="121" t="str">
        <f>'t1'!A6</f>
        <v>PERSONALE DIRIGENTE</v>
      </c>
      <c r="B6" s="166" t="str">
        <f>'t1'!B6</f>
        <v>0D00NF</v>
      </c>
      <c r="C6" s="313">
        <f>'t1'!C6+'t1'!D6</f>
        <v>0</v>
      </c>
      <c r="D6" s="313">
        <f>'t5'!U7+'t5'!V7</f>
        <v>0</v>
      </c>
      <c r="E6" s="314">
        <f>'t6'!U7+'t6'!V7</f>
        <v>0</v>
      </c>
      <c r="F6" s="314">
        <f>'t4'!C17</f>
        <v>0</v>
      </c>
      <c r="G6" s="314">
        <f>C6-D6+E6+F6</f>
        <v>0</v>
      </c>
      <c r="H6" s="314">
        <f>'t4'!E15</f>
        <v>0</v>
      </c>
      <c r="I6" s="95" t="str">
        <f>IF(H6&lt;=G6,"OK","ERRORE")</f>
        <v>OK</v>
      </c>
    </row>
    <row r="7" spans="1:13" ht="12.75" customHeight="1">
      <c r="A7" s="121" t="str">
        <f>'t1'!A7</f>
        <v>PERSONALE NON DIRIGENTE</v>
      </c>
      <c r="B7" s="166" t="str">
        <f>'t1'!B7</f>
        <v>0000ND</v>
      </c>
      <c r="C7" s="313">
        <f>'t1'!C7+'t1'!D7</f>
        <v>0</v>
      </c>
      <c r="D7" s="313">
        <f>'t5'!U8+'t5'!V8</f>
        <v>0</v>
      </c>
      <c r="E7" s="314">
        <f>'t6'!U8+'t6'!V8</f>
        <v>0</v>
      </c>
      <c r="F7" s="314">
        <f>'t4'!D17</f>
        <v>0</v>
      </c>
      <c r="G7" s="314">
        <f>C7-D7+E7+F7</f>
        <v>0</v>
      </c>
      <c r="H7" s="314">
        <f>'t4'!E16</f>
        <v>0</v>
      </c>
      <c r="I7" s="95" t="str">
        <f>IF(H7&lt;=G7,"OK","ERRORE")</f>
        <v>OK</v>
      </c>
    </row>
    <row r="8" spans="1:13" s="320" customFormat="1" ht="15.75" customHeight="1">
      <c r="A8" s="580" t="str">
        <f>'t1'!A8</f>
        <v>TOTALE</v>
      </c>
      <c r="B8" s="186"/>
      <c r="C8" s="336">
        <f t="shared" ref="C8:H8" si="0">SUM(C6:C7)</f>
        <v>0</v>
      </c>
      <c r="D8" s="336">
        <f t="shared" si="0"/>
        <v>0</v>
      </c>
      <c r="E8" s="336">
        <f t="shared" si="0"/>
        <v>0</v>
      </c>
      <c r="F8" s="336">
        <f t="shared" si="0"/>
        <v>0</v>
      </c>
      <c r="G8" s="336">
        <f t="shared" si="0"/>
        <v>0</v>
      </c>
      <c r="H8" s="336">
        <f t="shared" si="0"/>
        <v>0</v>
      </c>
      <c r="I8" s="159" t="str">
        <f>IF(H8&lt;=G8,"OK","ERRORE")</f>
        <v>OK</v>
      </c>
    </row>
  </sheetData>
  <sheetProtection password="DD41" sheet="1" formatColumns="0" selectLockedCells="1" selectUnlockedCells="1"/>
  <mergeCells count="2">
    <mergeCell ref="D2:I2"/>
    <mergeCell ref="A1:I1"/>
  </mergeCells>
  <phoneticPr fontId="29" type="noConversion"/>
  <printOptions horizontalCentered="1" verticalCentered="1"/>
  <pageMargins left="0" right="0" top="0.15748031496062992" bottom="0.15748031496062992" header="0.19685039370078741" footer="0.19685039370078741"/>
  <pageSetup paperSize="9" scale="80" orientation="landscape" horizontalDpi="300" verticalDpi="4294967292"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6"/>
  <dimension ref="A1:M21"/>
  <sheetViews>
    <sheetView showGridLines="0" workbookViewId="0">
      <selection activeCell="B2" sqref="B2"/>
    </sheetView>
  </sheetViews>
  <sheetFormatPr defaultColWidth="9.33203125" defaultRowHeight="11.25"/>
  <cols>
    <col min="1" max="1" width="66.6640625" style="3" customWidth="1"/>
    <col min="2" max="3" width="19.6640625" style="3" customWidth="1"/>
    <col min="4" max="4" width="26.6640625" style="3" customWidth="1"/>
    <col min="5" max="5" width="25.1640625" style="3" customWidth="1"/>
    <col min="6" max="16384" width="9.33203125" style="3"/>
  </cols>
  <sheetData>
    <row r="1" spans="1:13" ht="43.5" customHeight="1">
      <c r="A1" s="912" t="str">
        <f>'t1'!A1</f>
        <v>Amministrazioni incluse nell'elenco ISTAT art. 1 c.3 legge 196/2009 (lista S13) - anno 2023</v>
      </c>
      <c r="B1" s="912"/>
      <c r="C1" s="912"/>
      <c r="D1" s="912"/>
      <c r="E1" s="288"/>
      <c r="F1" s="291"/>
      <c r="G1" s="291"/>
      <c r="H1" s="291"/>
      <c r="I1" s="291"/>
      <c r="M1"/>
    </row>
    <row r="2" spans="1:13" ht="16.5" thickBot="1">
      <c r="A2" s="691" t="s">
        <v>469</v>
      </c>
      <c r="C2" s="983"/>
      <c r="D2" s="983"/>
      <c r="E2" s="983"/>
      <c r="F2" s="292"/>
      <c r="G2" s="292"/>
      <c r="H2" s="292"/>
      <c r="I2" s="292"/>
      <c r="M2"/>
    </row>
    <row r="3" spans="1:13" ht="30" customHeight="1" thickBot="1">
      <c r="A3" s="991" t="s">
        <v>470</v>
      </c>
      <c r="B3" s="992"/>
      <c r="C3" s="992"/>
      <c r="D3" s="992"/>
      <c r="E3" s="993"/>
    </row>
    <row r="4" spans="1:13" s="177" customFormat="1" ht="31.5">
      <c r="A4" s="538" t="s">
        <v>471</v>
      </c>
      <c r="B4" s="539" t="s">
        <v>472</v>
      </c>
      <c r="C4" s="539" t="s">
        <v>214</v>
      </c>
      <c r="D4" s="540" t="s">
        <v>215</v>
      </c>
      <c r="E4" s="541" t="s">
        <v>377</v>
      </c>
    </row>
    <row r="5" spans="1:13" ht="20.25" customHeight="1">
      <c r="A5" s="180" t="s">
        <v>552</v>
      </c>
      <c r="B5" s="655">
        <f>SI_1!G56</f>
        <v>0</v>
      </c>
      <c r="C5" s="184">
        <f>'t14'!D12</f>
        <v>0</v>
      </c>
      <c r="D5" s="187" t="str">
        <f>IF(B5=0,IF(C5=0,"OK","MANCANO LE UNITA'"),IF(C5=0,"MANCANO LE SPESE","OK"))</f>
        <v>OK</v>
      </c>
      <c r="E5" s="183" t="str">
        <f>IF(AND(B5&gt;0,C5&gt;0),C5/B5," ")</f>
        <v xml:space="preserve"> </v>
      </c>
    </row>
    <row r="6" spans="1:13" ht="20.25" customHeight="1">
      <c r="A6" s="180" t="s">
        <v>553</v>
      </c>
      <c r="B6" s="655">
        <f>SI_1!G59</f>
        <v>0</v>
      </c>
      <c r="C6" s="184">
        <f>'t14'!D13</f>
        <v>0</v>
      </c>
      <c r="D6" s="187" t="str">
        <f>IF(B6=0,IF(C6=0,"OK","MANCANO LE UNITA'"),IF(C6=0,"MANCANO LE SPESE","OK"))</f>
        <v>OK</v>
      </c>
      <c r="E6" s="183" t="str">
        <f>IF(AND(B6&gt;0,C6&gt;0),C6/B6," ")</f>
        <v xml:space="preserve"> </v>
      </c>
    </row>
    <row r="7" spans="1:13" ht="20.25" customHeight="1" thickBot="1">
      <c r="A7" s="181" t="s">
        <v>2</v>
      </c>
      <c r="B7" s="656">
        <f>SI_1!G62</f>
        <v>0</v>
      </c>
      <c r="C7" s="185">
        <f>'t14'!D14</f>
        <v>0</v>
      </c>
      <c r="D7" s="188" t="str">
        <f>IF(B7=0,IF(C7=0,"OK","MANCANO LE UNITA'"),IF(C7=0,"MANCANO LE SPESE","OK"))</f>
        <v>OK</v>
      </c>
      <c r="E7" s="447" t="str">
        <f>IF(AND(B7&gt;0,C7&gt;0),C7/B7," ")</f>
        <v xml:space="preserve"> </v>
      </c>
    </row>
    <row r="10" spans="1:13" ht="16.5" thickBot="1">
      <c r="A10" s="692" t="s">
        <v>473</v>
      </c>
    </row>
    <row r="11" spans="1:13" ht="30" customHeight="1" thickBot="1">
      <c r="A11" s="991" t="s">
        <v>474</v>
      </c>
      <c r="B11" s="992"/>
      <c r="C11" s="992"/>
      <c r="D11" s="992"/>
      <c r="E11" s="993"/>
    </row>
    <row r="12" spans="1:13" s="177" customFormat="1" ht="32.25" thickBot="1">
      <c r="A12" s="538" t="s">
        <v>475</v>
      </c>
      <c r="B12" s="539" t="s">
        <v>476</v>
      </c>
      <c r="C12" s="539" t="s">
        <v>214</v>
      </c>
      <c r="D12" s="540" t="s">
        <v>215</v>
      </c>
      <c r="E12" s="541" t="s">
        <v>377</v>
      </c>
    </row>
    <row r="13" spans="1:13" ht="20.25" customHeight="1">
      <c r="A13" s="444" t="s">
        <v>174</v>
      </c>
      <c r="B13" s="654">
        <f>'t2'!C7+'t2'!D7</f>
        <v>0</v>
      </c>
      <c r="C13" s="445">
        <f>'t14'!D16</f>
        <v>0</v>
      </c>
      <c r="D13" s="446" t="str">
        <f>IF(B13=0,IF(C13=0,"OK","MANCANO LE UNITA'"),IF(C13=0,"MANCANO LE SPESE","OK"))</f>
        <v>OK</v>
      </c>
      <c r="E13" s="182" t="str">
        <f>IF(AND(B13&gt;0,C13&gt;0),C13/B13," ")</f>
        <v xml:space="preserve"> </v>
      </c>
    </row>
    <row r="14" spans="1:13" ht="20.25" customHeight="1">
      <c r="A14" s="180" t="s">
        <v>175</v>
      </c>
      <c r="B14" s="655">
        <f>'t2'!E7+'t2'!F7</f>
        <v>0</v>
      </c>
      <c r="C14" s="184">
        <f>'t14'!D17</f>
        <v>0</v>
      </c>
      <c r="D14" s="187" t="str">
        <f>IF(B14=0,IF(C14=0,"OK","MANCANO LE UNITA'"),IF(C14=0,"MANCANO LE SPESE","OK"))</f>
        <v>OK</v>
      </c>
      <c r="E14" s="183" t="str">
        <f>IF(AND(B14&gt;0,C14&gt;0),C14/B14," ")</f>
        <v xml:space="preserve"> </v>
      </c>
    </row>
    <row r="15" spans="1:13" ht="20.25" customHeight="1">
      <c r="A15" s="180" t="s">
        <v>45</v>
      </c>
      <c r="B15" s="655">
        <f>'t2'!G7+'t2'!H7</f>
        <v>0</v>
      </c>
      <c r="C15" s="184">
        <f>'t14'!D23</f>
        <v>0</v>
      </c>
      <c r="D15" s="187" t="str">
        <f>IF(B15=0,IF(C15=0,"OK","MANCANO LE UNITA'"),IF(C15=0,"MANCANO LE SPESE","OK"))</f>
        <v>OK</v>
      </c>
      <c r="E15" s="183" t="str">
        <f>IF(AND(B15&gt;0,C15&gt;0),C15/B15," ")</f>
        <v xml:space="preserve"> </v>
      </c>
    </row>
    <row r="16" spans="1:13" ht="20.25" customHeight="1">
      <c r="A16" s="180" t="s">
        <v>176</v>
      </c>
      <c r="B16" s="655">
        <f>'t2'!I7+'t2'!J7</f>
        <v>0</v>
      </c>
      <c r="C16" s="184">
        <f>'t14'!D24</f>
        <v>0</v>
      </c>
      <c r="D16" s="187" t="str">
        <f>IF(B16=0,IF(C16=0,"OK","MANCANO LE UNITA'"),IF(C16=0,"MANCANO LE SPESE","OK"))</f>
        <v>OK</v>
      </c>
      <c r="E16" s="183" t="str">
        <f>IF(AND(B16&gt;0,C16&gt;0),C16/B16," ")</f>
        <v xml:space="preserve"> </v>
      </c>
    </row>
    <row r="17" spans="1:5" ht="13.9" customHeight="1" thickBot="1">
      <c r="A17" s="693"/>
      <c r="B17" s="694"/>
      <c r="C17" s="694"/>
      <c r="D17" s="694"/>
      <c r="E17" s="695"/>
    </row>
    <row r="18" spans="1:5" s="177" customFormat="1" ht="31.5">
      <c r="A18" s="449" t="s">
        <v>375</v>
      </c>
      <c r="B18" s="450" t="s">
        <v>376</v>
      </c>
      <c r="C18" s="450" t="s">
        <v>214</v>
      </c>
      <c r="D18" s="451" t="s">
        <v>379</v>
      </c>
      <c r="E18" s="555" t="s">
        <v>378</v>
      </c>
    </row>
    <row r="19" spans="1:5" ht="27.75" customHeight="1">
      <c r="A19" s="696" t="str">
        <f>'t14'!A10</f>
        <v>SOMME CORRISPOSTE AD AGENZIA DI SOMMINISTRAZIONE(INTERINALI)</v>
      </c>
      <c r="B19" s="95" t="str">
        <f>'t14'!B10</f>
        <v>L105</v>
      </c>
      <c r="C19" s="573">
        <f>'t14'!D10</f>
        <v>0</v>
      </c>
      <c r="D19" s="556" t="str">
        <f>(IF(AND(C19=0,C20&gt;0),"INSERIRE SOMME SPETTANTI ALL'AGENZIA (L105)","OK"))</f>
        <v>OK</v>
      </c>
      <c r="E19" s="994" t="str">
        <f>(IF(AND(C19&gt;0,C20&gt;0),C19/C20," "))</f>
        <v xml:space="preserve"> </v>
      </c>
    </row>
    <row r="20" spans="1:5" ht="27.75" customHeight="1">
      <c r="A20" s="696" t="str">
        <f>'t14'!A23</f>
        <v>ONERI PER I CONTRATTI DI SOMMINISTRAZIONE(INTERINALI)</v>
      </c>
      <c r="B20" s="542" t="str">
        <f>'t14'!B23</f>
        <v>P062</v>
      </c>
      <c r="C20" s="574">
        <f>'t14'!D23</f>
        <v>0</v>
      </c>
      <c r="D20" s="557" t="str">
        <f>(IF(AND(C20=0,C19&gt;0),"INSERIRE RETRIBUZIONI PER INTERINALI (P062)","OK"))</f>
        <v>OK</v>
      </c>
      <c r="E20" s="995"/>
    </row>
    <row r="21" spans="1:5" ht="40.5" customHeight="1" thickBot="1">
      <c r="A21" s="997" t="s">
        <v>388</v>
      </c>
      <c r="B21" s="998"/>
      <c r="C21" s="999"/>
      <c r="D21" s="558" t="str">
        <f>(IF(AND(C19&gt;0,C20&gt;0),IF(C19&gt;(C20/100*30),"ATTENZIONE: la voce L105 supera il 30% della voce P062. L'IN1 andrà giustificata","OK"),"OK"))</f>
        <v>OK</v>
      </c>
      <c r="E21" s="996"/>
    </row>
  </sheetData>
  <sheetProtection algorithmName="SHA-512" hashValue="3tg1r4ff6BbevS01/CR7R//fKAXTL8ICXoGscrLnpry4+CSJ+pRcFDxy0gDQccSBbii1ZLwUm0OTZwmuDYyA9w==" saltValue="sv9E/Mhv2wm4kxYKvVhuDg==" spinCount="100000" sheet="1" formatColumns="0" selectLockedCells="1" selectUnlockedCells="1"/>
  <mergeCells count="6">
    <mergeCell ref="A3:E3"/>
    <mergeCell ref="A1:D1"/>
    <mergeCell ref="C2:E2"/>
    <mergeCell ref="E19:E21"/>
    <mergeCell ref="A21:C21"/>
    <mergeCell ref="A11:E11"/>
  </mergeCells>
  <phoneticPr fontId="29" type="noConversion"/>
  <conditionalFormatting sqref="D5:D7 D13:D16 D19:D21">
    <cfRule type="notContainsText" dxfId="3" priority="1" stopIfTrue="1" operator="notContains" text="ok">
      <formula>ISERROR(SEARCH("ok",D5))</formula>
    </cfRule>
  </conditionalFormatting>
  <printOptions horizontalCentered="1" verticalCentered="1"/>
  <pageMargins left="0" right="0" top="0.19685039370078741" bottom="0.31496062992125984" header="0.51181102362204722" footer="0.51181102362204722"/>
  <pageSetup paperSize="9" scale="90" orientation="landscape" horizontalDpi="300" verticalDpi="4294967292"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7"/>
  <dimension ref="A1:M7"/>
  <sheetViews>
    <sheetView showGridLines="0" workbookViewId="0">
      <pane ySplit="5" topLeftCell="A6" activePane="bottomLeft" state="frozen"/>
      <selection activeCell="A2" sqref="A2"/>
      <selection pane="bottomLeft" activeCell="B7" sqref="B7"/>
    </sheetView>
  </sheetViews>
  <sheetFormatPr defaultRowHeight="11.25"/>
  <cols>
    <col min="1" max="1" width="38.6640625" style="3" customWidth="1"/>
    <col min="2" max="2" width="11.33203125" style="2" customWidth="1"/>
    <col min="3" max="3" width="13.1640625" style="2" customWidth="1"/>
    <col min="4" max="4" width="17.6640625" style="2" customWidth="1"/>
    <col min="5" max="6" width="15.6640625" style="2" customWidth="1"/>
    <col min="7" max="8" width="15.6640625" style="98" customWidth="1"/>
    <col min="9" max="9" width="18.33203125" style="98" customWidth="1"/>
    <col min="10" max="10" width="9.33203125" style="98" customWidth="1"/>
  </cols>
  <sheetData>
    <row r="1" spans="1:13" s="3" customFormat="1" ht="43.5" customHeight="1">
      <c r="A1" s="1000" t="str">
        <f>'t1'!A1</f>
        <v>Amministrazioni incluse nell'elenco ISTAT art. 1 c.3 legge 196/2009 (lista S13) - anno 2023</v>
      </c>
      <c r="B1" s="1000"/>
      <c r="C1" s="1000"/>
      <c r="D1" s="1000"/>
      <c r="E1" s="1000"/>
      <c r="F1" s="1000"/>
      <c r="G1" s="1000"/>
      <c r="H1" s="1000"/>
      <c r="I1" s="1000"/>
      <c r="M1"/>
    </row>
    <row r="2" spans="1:13" s="3" customFormat="1" ht="12.75" customHeight="1">
      <c r="D2" s="983"/>
      <c r="E2" s="983"/>
      <c r="F2" s="983"/>
      <c r="G2" s="983"/>
      <c r="H2" s="983"/>
      <c r="I2" s="983"/>
      <c r="J2" s="292"/>
      <c r="M2"/>
    </row>
    <row r="3" spans="1:13" s="3" customFormat="1" ht="21" customHeight="1">
      <c r="A3" s="176" t="s">
        <v>241</v>
      </c>
      <c r="B3" s="2"/>
      <c r="F3" s="2"/>
    </row>
    <row r="4" spans="1:13" ht="56.25">
      <c r="A4" s="163" t="s">
        <v>216</v>
      </c>
      <c r="B4" s="164" t="s">
        <v>178</v>
      </c>
      <c r="C4" s="164" t="s">
        <v>217</v>
      </c>
      <c r="D4" s="164" t="s">
        <v>221</v>
      </c>
      <c r="E4" s="164" t="s">
        <v>222</v>
      </c>
      <c r="F4" s="164" t="s">
        <v>223</v>
      </c>
      <c r="G4" s="164" t="s">
        <v>177</v>
      </c>
      <c r="H4" s="164" t="s">
        <v>224</v>
      </c>
      <c r="I4" s="164" t="s">
        <v>346</v>
      </c>
    </row>
    <row r="5" spans="1:13" s="179" customFormat="1">
      <c r="A5" s="162"/>
      <c r="B5" s="174"/>
      <c r="C5" s="174" t="s">
        <v>180</v>
      </c>
      <c r="D5" s="174" t="s">
        <v>181</v>
      </c>
      <c r="E5" s="174" t="s">
        <v>218</v>
      </c>
      <c r="F5" s="174" t="s">
        <v>183</v>
      </c>
      <c r="G5" s="174" t="s">
        <v>219</v>
      </c>
      <c r="H5" s="174" t="s">
        <v>220</v>
      </c>
      <c r="I5" s="174" t="s">
        <v>347</v>
      </c>
      <c r="J5" s="178"/>
    </row>
    <row r="6" spans="1:13" ht="12.75">
      <c r="A6" s="121" t="str">
        <f>'t1'!A6</f>
        <v>PERSONALE DIRIGENTE</v>
      </c>
      <c r="B6" s="95" t="str">
        <f>'t1'!B6</f>
        <v>0D00NF</v>
      </c>
      <c r="C6" s="315">
        <f>'t12'!C6</f>
        <v>0</v>
      </c>
      <c r="D6" s="316">
        <f>'t12'!D6</f>
        <v>0</v>
      </c>
      <c r="E6" s="317" t="str">
        <f>IF(C6=0," ",D6/C6*12)</f>
        <v xml:space="preserve"> </v>
      </c>
      <c r="F6" s="335">
        <v>0</v>
      </c>
      <c r="G6" s="317" t="str">
        <f>IF(E6=" "," ",E6-F6)</f>
        <v xml:space="preserve"> </v>
      </c>
      <c r="H6" s="318" t="str">
        <f>IF(E6=" "," ",IF(F6=0," ",G6/F6))</f>
        <v xml:space="preserve"> </v>
      </c>
      <c r="I6" s="298" t="str">
        <f>IF(E6=" "," ",IF(F6=0," ",IF(ABS(H6)&gt;0.02,"ERRORE","OK")))</f>
        <v xml:space="preserve"> </v>
      </c>
    </row>
    <row r="7" spans="1:13" ht="12.75">
      <c r="A7" s="121" t="str">
        <f>'t1'!A7</f>
        <v>PERSONALE NON DIRIGENTE</v>
      </c>
      <c r="B7" s="95" t="str">
        <f>'t1'!B7</f>
        <v>0000ND</v>
      </c>
      <c r="C7" s="315">
        <f>'t12'!C7</f>
        <v>0</v>
      </c>
      <c r="D7" s="316">
        <f>'t12'!D7</f>
        <v>0</v>
      </c>
      <c r="E7" s="317" t="str">
        <f>IF(C7=0," ",D7/C7*12)</f>
        <v xml:space="preserve"> </v>
      </c>
      <c r="F7" s="335">
        <v>0</v>
      </c>
      <c r="G7" s="317" t="str">
        <f>IF(E7=" "," ",E7-F7)</f>
        <v xml:space="preserve"> </v>
      </c>
      <c r="H7" s="318" t="str">
        <f>IF(E7=" "," ",IF(F7=0," ",G7/F7))</f>
        <v xml:space="preserve"> </v>
      </c>
      <c r="I7" s="298" t="str">
        <f>IF(E7=" "," ",IF(F7=0," ",IF(ABS(H7)&gt;0.02,"ERRORE","OK")))</f>
        <v xml:space="preserve"> </v>
      </c>
    </row>
  </sheetData>
  <sheetProtection password="DD41" sheet="1" formatColumns="0" selectLockedCells="1" selectUnlockedCells="1"/>
  <mergeCells count="2">
    <mergeCell ref="D2:I2"/>
    <mergeCell ref="A1:I1"/>
  </mergeCells>
  <phoneticPr fontId="29" type="noConversion"/>
  <printOptions horizontalCentered="1" verticalCentered="1"/>
  <pageMargins left="0.19685039370078741" right="0.19685039370078741" top="0.19685039370078741" bottom="0.15748031496062992" header="0.15748031496062992" footer="0.15748031496062992"/>
  <pageSetup paperSize="9" scale="9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7">
    <pageSetUpPr fitToPage="1"/>
  </sheetPr>
  <dimension ref="A1:N31"/>
  <sheetViews>
    <sheetView showGridLines="0" zoomScale="90" workbookViewId="0">
      <pane ySplit="5" topLeftCell="A6" activePane="bottomLeft" state="frozen"/>
      <selection activeCell="A2" sqref="A2"/>
      <selection pane="bottomLeft" activeCell="B2" sqref="B2:G2"/>
    </sheetView>
  </sheetViews>
  <sheetFormatPr defaultRowHeight="11.25"/>
  <cols>
    <col min="1" max="1" width="71.33203125" style="373" customWidth="1"/>
    <col min="2" max="2" width="9.6640625" style="373" customWidth="1"/>
    <col min="3" max="3" width="14.1640625" style="373" customWidth="1"/>
    <col min="4" max="4" width="15.33203125" style="373" customWidth="1"/>
    <col min="5" max="5" width="25" style="373" bestFit="1" customWidth="1"/>
    <col min="6" max="6" width="17.33203125" style="373" customWidth="1"/>
    <col min="7" max="7" width="17.1640625" style="373" customWidth="1"/>
    <col min="8" max="14" width="9.33203125" style="373" customWidth="1"/>
  </cols>
  <sheetData>
    <row r="1" spans="1:14" s="3" customFormat="1" ht="22.5">
      <c r="A1" s="912" t="str">
        <f>'t1'!A1:J1</f>
        <v>Amministrazioni incluse nell'elenco ISTAT art. 1 c.3 legge 196/2009 (lista S13) - anno 2023</v>
      </c>
      <c r="B1" s="912"/>
      <c r="C1" s="912"/>
      <c r="D1" s="912"/>
      <c r="E1" s="912"/>
      <c r="F1" s="912"/>
      <c r="G1" s="912"/>
      <c r="H1" s="291"/>
      <c r="M1" s="372"/>
    </row>
    <row r="2" spans="1:14" s="3" customFormat="1" ht="19.149999999999999" customHeight="1">
      <c r="B2" s="983"/>
      <c r="C2" s="983"/>
      <c r="D2" s="983"/>
      <c r="E2" s="983"/>
      <c r="F2" s="983"/>
      <c r="G2" s="983"/>
      <c r="J2" s="292"/>
      <c r="M2" s="372"/>
    </row>
    <row r="3" spans="1:14" s="3" customFormat="1" ht="21" customHeight="1" thickBot="1">
      <c r="A3" s="294" t="s">
        <v>242</v>
      </c>
      <c r="B3" s="2"/>
    </row>
    <row r="4" spans="1:14" ht="20.25" customHeight="1" thickBot="1">
      <c r="A4" s="302" t="s">
        <v>243</v>
      </c>
      <c r="B4" s="1026">
        <f>'t12'!K8+'t13'!I8</f>
        <v>0</v>
      </c>
      <c r="C4" s="1027"/>
      <c r="D4" s="1027"/>
      <c r="E4" s="1027"/>
      <c r="F4" s="1027"/>
      <c r="G4" s="1028"/>
    </row>
    <row r="5" spans="1:14" ht="85.5" customHeight="1" thickBot="1">
      <c r="A5" s="198" t="s">
        <v>92</v>
      </c>
      <c r="B5" s="199" t="s">
        <v>228</v>
      </c>
      <c r="C5" s="199" t="s">
        <v>229</v>
      </c>
      <c r="D5" s="200" t="s">
        <v>230</v>
      </c>
      <c r="E5" s="1029" t="s">
        <v>227</v>
      </c>
      <c r="F5" s="1030"/>
      <c r="G5" s="1031"/>
      <c r="H5" s="372"/>
      <c r="I5" s="372"/>
      <c r="J5" s="372"/>
      <c r="K5" s="372"/>
      <c r="L5" s="372"/>
      <c r="M5" s="372"/>
      <c r="N5" s="372"/>
    </row>
    <row r="6" spans="1:14" ht="19.5" customHeight="1">
      <c r="A6" s="197" t="str">
        <f>'t14'!A4</f>
        <v>ASSEGNI PER IL NUCLEO FAMILIARE</v>
      </c>
      <c r="B6" s="299" t="str">
        <f>'t14'!B4</f>
        <v>L005</v>
      </c>
      <c r="C6" s="295">
        <f>'t14'!D4</f>
        <v>0</v>
      </c>
      <c r="D6" s="374" t="str">
        <f t="shared" ref="D6:D12" si="0">IF($B$4=0," ",(IF(C6=0," ",C6/$B$4)))</f>
        <v xml:space="preserve"> </v>
      </c>
      <c r="E6" s="1007" t="str">
        <f>IF($B$4=0,"TABELLE 12 -13 ASSENTI",(IF('t12'!$K$8=0,"TAB. 12 ASSENTE",(IF('t13'!I8=0,"TAB. 13 ASSENTE"," ")))))</f>
        <v>TABELLE 12 -13 ASSENTI</v>
      </c>
      <c r="F6" s="1008"/>
      <c r="G6" s="1009"/>
      <c r="H6" s="372"/>
      <c r="I6" s="372"/>
      <c r="J6" s="372"/>
      <c r="K6" s="372"/>
      <c r="L6" s="372"/>
      <c r="M6" s="372"/>
      <c r="N6" s="372"/>
    </row>
    <row r="7" spans="1:14" ht="19.5" customHeight="1">
      <c r="A7" s="197" t="str">
        <f>'t14'!A5</f>
        <v xml:space="preserve">GESTIONE MENSE </v>
      </c>
      <c r="B7" s="299" t="str">
        <f>'t14'!B5</f>
        <v>L010</v>
      </c>
      <c r="C7" s="296">
        <f>'t14'!D5</f>
        <v>0</v>
      </c>
      <c r="D7" s="375" t="str">
        <f t="shared" si="0"/>
        <v xml:space="preserve"> </v>
      </c>
      <c r="E7" s="1001"/>
      <c r="F7" s="1002"/>
      <c r="G7" s="1003"/>
      <c r="H7" s="372"/>
      <c r="I7" s="372"/>
      <c r="J7" s="372"/>
      <c r="K7" s="372"/>
      <c r="L7" s="372"/>
      <c r="M7" s="372"/>
      <c r="N7" s="372"/>
    </row>
    <row r="8" spans="1:14" ht="19.5" customHeight="1">
      <c r="A8" s="197" t="str">
        <f>'t14'!A6</f>
        <v>EROGAZIONE BUONI PASTO</v>
      </c>
      <c r="B8" s="299" t="str">
        <f>'t14'!B6</f>
        <v>L011</v>
      </c>
      <c r="C8" s="296">
        <f>'t14'!D6</f>
        <v>0</v>
      </c>
      <c r="D8" s="375" t="str">
        <f t="shared" si="0"/>
        <v xml:space="preserve"> </v>
      </c>
      <c r="E8" s="1001"/>
      <c r="F8" s="1002"/>
      <c r="G8" s="1003"/>
      <c r="H8" s="372"/>
      <c r="I8" s="372"/>
      <c r="J8" s="372"/>
      <c r="K8" s="372"/>
      <c r="L8" s="372"/>
      <c r="M8" s="372"/>
      <c r="N8" s="372"/>
    </row>
    <row r="9" spans="1:14" ht="19.5" customHeight="1">
      <c r="A9" s="197" t="str">
        <f>'t14'!A7</f>
        <v>FORMAZIONE DEL PERSONALE</v>
      </c>
      <c r="B9" s="299" t="str">
        <f>'t14'!B7</f>
        <v>L020</v>
      </c>
      <c r="C9" s="296">
        <f>'t14'!D7</f>
        <v>0</v>
      </c>
      <c r="D9" s="375" t="str">
        <f t="shared" si="0"/>
        <v xml:space="preserve"> </v>
      </c>
      <c r="E9" s="1001"/>
      <c r="F9" s="1002"/>
      <c r="G9" s="1003"/>
      <c r="H9" s="372"/>
      <c r="I9" s="372"/>
      <c r="J9" s="372"/>
      <c r="K9" s="372"/>
      <c r="L9" s="372"/>
      <c r="M9" s="372"/>
      <c r="N9" s="372"/>
    </row>
    <row r="10" spans="1:14" ht="19.5" customHeight="1">
      <c r="A10" s="197" t="str">
        <f>'t14'!A8</f>
        <v>BENESSERE DEL PERSONALE</v>
      </c>
      <c r="B10" s="299" t="str">
        <f>'t14'!B8</f>
        <v>L090</v>
      </c>
      <c r="C10" s="296">
        <f>'t14'!D8</f>
        <v>0</v>
      </c>
      <c r="D10" s="375" t="str">
        <f t="shared" si="0"/>
        <v xml:space="preserve"> </v>
      </c>
      <c r="E10" s="1001"/>
      <c r="F10" s="1002"/>
      <c r="G10" s="1003"/>
      <c r="H10" s="372"/>
      <c r="I10" s="372"/>
      <c r="J10" s="372"/>
      <c r="K10" s="372"/>
      <c r="L10" s="372"/>
      <c r="M10" s="372"/>
      <c r="N10" s="372"/>
    </row>
    <row r="11" spans="1:14" ht="19.5" customHeight="1" thickBot="1">
      <c r="A11" s="197" t="str">
        <f>'t14'!A9</f>
        <v>EQUO INDENNIZZO AL PERSONALE</v>
      </c>
      <c r="B11" s="299" t="str">
        <f>'t14'!B9</f>
        <v>L100</v>
      </c>
      <c r="C11" s="296">
        <f>'t14'!D9</f>
        <v>0</v>
      </c>
      <c r="D11" s="376" t="str">
        <f t="shared" si="0"/>
        <v xml:space="preserve"> </v>
      </c>
      <c r="E11" s="1004"/>
      <c r="F11" s="1005"/>
      <c r="G11" s="1006"/>
      <c r="H11" s="372"/>
      <c r="I11" s="372"/>
      <c r="J11" s="372"/>
      <c r="K11" s="372"/>
      <c r="L11" s="372"/>
      <c r="M11" s="372"/>
      <c r="N11" s="372"/>
    </row>
    <row r="12" spans="1:14" ht="30.75" customHeight="1" thickBot="1">
      <c r="A12" s="197" t="str">
        <f>'t14'!A10</f>
        <v>SOMME CORRISPOSTE AD AGENZIA DI SOMMINISTRAZIONE(INTERINALI)</v>
      </c>
      <c r="B12" s="299" t="str">
        <f>'t14'!B10</f>
        <v>L105</v>
      </c>
      <c r="C12" s="296">
        <f>'t14'!D10</f>
        <v>0</v>
      </c>
      <c r="D12" s="376" t="str">
        <f t="shared" si="0"/>
        <v xml:space="preserve"> </v>
      </c>
      <c r="E12" s="1010" t="str">
        <f>(IF(AND(C12=0,C24&gt;0),"P062 VALORIZZATA; INSERIRE SOMME SPETTANTI ALL'AGENZIA (L105)",IF(AND(C12&gt;0,C24&gt;0,C12&gt;(C24/100*30)),"ATTENZIONE: la voce L105 supera il 30% della voce P062. Il salvataggio produrrà l'INCONGRUENZA 1 che dovrà essere giustificata"," ")))</f>
        <v xml:space="preserve"> </v>
      </c>
      <c r="F12" s="1011"/>
      <c r="G12" s="1012"/>
      <c r="H12" s="372"/>
      <c r="I12" s="372"/>
      <c r="J12" s="372"/>
      <c r="K12" s="372"/>
      <c r="L12" s="372"/>
      <c r="M12" s="372"/>
      <c r="N12" s="372"/>
    </row>
    <row r="13" spans="1:14" ht="19.5" customHeight="1" thickBot="1">
      <c r="A13" s="197" t="str">
        <f>'t14'!A11</f>
        <v>COPERTURE ASSICURATIVE</v>
      </c>
      <c r="B13" s="299" t="str">
        <f>'t14'!B11</f>
        <v>L107</v>
      </c>
      <c r="C13" s="296">
        <f>'t14'!D11</f>
        <v>0</v>
      </c>
      <c r="D13" s="374" t="str">
        <f t="shared" ref="D13:D21" si="1">IF($B$4=0," ",(IF(C13=0," ",C13/$B$4)))</f>
        <v xml:space="preserve"> </v>
      </c>
      <c r="E13" s="1013" t="str">
        <f>IF($B$4=0,"TABELLE 12 -13 ASSENTI",(IF('t12'!$K$8=0,"TAB. 12 ASSENTE",(IF('t13'!$I$8=0,"TAB. 13 ASSENTE"," ")))))</f>
        <v>TABELLE 12 -13 ASSENTI</v>
      </c>
      <c r="F13" s="1014" t="s">
        <v>272</v>
      </c>
      <c r="G13" s="1015" t="s">
        <v>272</v>
      </c>
      <c r="H13" s="372"/>
      <c r="I13" s="372"/>
      <c r="J13" s="372"/>
      <c r="K13" s="372"/>
      <c r="L13" s="372"/>
      <c r="M13" s="372"/>
      <c r="N13" s="372"/>
    </row>
    <row r="14" spans="1:14" ht="41.25" customHeight="1" thickBot="1">
      <c r="A14" s="197" t="str">
        <f>'t14'!A12</f>
        <v>CONTRATTI DI COLLABORAZIONE PROFESSIONALE</v>
      </c>
      <c r="B14" s="299" t="str">
        <f>'t14'!B12</f>
        <v>L111</v>
      </c>
      <c r="C14" s="296">
        <f>'t14'!D12</f>
        <v>0</v>
      </c>
      <c r="D14" s="375" t="str">
        <f t="shared" si="1"/>
        <v xml:space="preserve"> </v>
      </c>
      <c r="E14" s="1010" t="str">
        <f>IF(SI_1!G56=0,IF('t14'!D12=0," ","MANCA IL NUMERO DEI CONTRATTI NELLA SI_1"),IF('t14'!D12=0,"VERIFICARE SE INSERIRE LE SPESE"," "))</f>
        <v xml:space="preserve"> </v>
      </c>
      <c r="F14" s="1014"/>
      <c r="G14" s="319" t="str">
        <f>IF(AND(C14&gt;0,SI_1!G56&gt;0),"VALORE MEDIO UNITARIO DI SPESA =  "&amp;C14/SI_1!G56," ")</f>
        <v xml:space="preserve"> </v>
      </c>
      <c r="H14" s="372"/>
      <c r="I14" s="372"/>
      <c r="J14" s="372"/>
      <c r="K14" s="372"/>
      <c r="L14" s="372"/>
      <c r="M14" s="372"/>
      <c r="N14" s="372"/>
    </row>
    <row r="15" spans="1:14" ht="41.25" customHeight="1" thickBot="1">
      <c r="A15" s="197" t="str">
        <f>'t14'!A13</f>
        <v>INCARICHI DI STUDIO/RICERCA/CONSULENZA</v>
      </c>
      <c r="B15" s="299" t="str">
        <f>'t14'!B13</f>
        <v>L112</v>
      </c>
      <c r="C15" s="296">
        <f>'t14'!D13</f>
        <v>0</v>
      </c>
      <c r="D15" s="375" t="str">
        <f t="shared" si="1"/>
        <v xml:space="preserve"> </v>
      </c>
      <c r="E15" s="1010" t="str">
        <f>IF(SI_1!G59=0,IF('t14'!D13=0," ","MANCA IL NUMERO DEI CONTRATTI NELLA SI_1"),IF('t14'!D13=0,"VERIFICARE SE INSERIRE LE SPESE"," "))</f>
        <v xml:space="preserve"> </v>
      </c>
      <c r="F15" s="1014"/>
      <c r="G15" s="319" t="str">
        <f>IF(AND(C15&gt;0,SI_1!G59&gt;0),"VALORE MEDIO UNITARIO DI SPESA =  "&amp;C15/SI_1!G59," ")</f>
        <v xml:space="preserve"> </v>
      </c>
      <c r="H15" s="372"/>
      <c r="I15" s="372"/>
      <c r="J15" s="372"/>
      <c r="K15" s="372"/>
      <c r="L15" s="372"/>
      <c r="M15" s="372"/>
      <c r="N15" s="372"/>
    </row>
    <row r="16" spans="1:14" ht="41.25" customHeight="1" thickBot="1">
      <c r="A16" s="197" t="str">
        <f>'t14'!A14</f>
        <v>CONTRATTI PER RESA SERVIZI/ADEMPIMENTI OBBLIGATORI PER LEGGE</v>
      </c>
      <c r="B16" s="299" t="str">
        <f>'t14'!B14</f>
        <v>L115</v>
      </c>
      <c r="C16" s="296">
        <f>'t14'!D14</f>
        <v>0</v>
      </c>
      <c r="D16" s="375" t="str">
        <f>IF($B$4=0," ",(IF(C16=0," ",C16/$B$4)))</f>
        <v xml:space="preserve"> </v>
      </c>
      <c r="E16" s="1010" t="str">
        <f>IF(SI_1!G62=0,IF('t14'!D14=0," ","MANCA IL NUMERO DEI CONTRATTI NELLA SI_1"),IF('t14'!D14=0,"VERIFICARE SE INSERIRE LE SPESE"," "))</f>
        <v xml:space="preserve"> </v>
      </c>
      <c r="F16" s="1014"/>
      <c r="G16" s="319" t="str">
        <f>IF(AND(C16&gt;0,SI_1!G62&gt;0),"VALORE MEDIO UNITARIO DI SPESA =  "&amp;C16/SI_1!G62," ")</f>
        <v xml:space="preserve"> </v>
      </c>
      <c r="H16" s="372"/>
      <c r="I16" s="372"/>
      <c r="J16" s="372"/>
      <c r="K16" s="372"/>
      <c r="L16" s="372"/>
      <c r="M16" s="372"/>
      <c r="N16" s="372"/>
    </row>
    <row r="17" spans="1:14" ht="19.5" customHeight="1">
      <c r="A17" s="197" t="str">
        <f>'t14'!A15</f>
        <v>ALTRE SPESE</v>
      </c>
      <c r="B17" s="299" t="str">
        <f>'t14'!B15</f>
        <v>L110</v>
      </c>
      <c r="C17" s="296">
        <f>'t14'!D15</f>
        <v>0</v>
      </c>
      <c r="D17" s="375" t="str">
        <f t="shared" si="1"/>
        <v xml:space="preserve"> </v>
      </c>
      <c r="E17" s="1007" t="str">
        <f>IF($B$4=0,"TABELLE 12 -13 ASSENTI",(IF('t12'!K8=0,"TAB. 12 ASSENTE",(IF('t13'!I8=0,"TAB. 13 ASSENTE"," ")))))</f>
        <v>TABELLE 12 -13 ASSENTI</v>
      </c>
      <c r="F17" s="1016" t="s">
        <v>272</v>
      </c>
      <c r="G17" s="1017" t="s">
        <v>272</v>
      </c>
      <c r="H17" s="372"/>
      <c r="I17" s="372"/>
      <c r="J17" s="372"/>
      <c r="K17" s="372"/>
      <c r="L17" s="372"/>
      <c r="M17" s="372"/>
      <c r="N17" s="372"/>
    </row>
    <row r="18" spans="1:14" ht="19.5" customHeight="1">
      <c r="A18" s="197" t="str">
        <f>'t14'!A16</f>
        <v>RETRIBUZIONI PERSONALE  A TEMPO DETERMINATO</v>
      </c>
      <c r="B18" s="299" t="str">
        <f>'t14'!B16</f>
        <v>P015</v>
      </c>
      <c r="C18" s="296">
        <f>'t14'!D16</f>
        <v>0</v>
      </c>
      <c r="D18" s="375" t="str">
        <f t="shared" si="1"/>
        <v xml:space="preserve"> </v>
      </c>
      <c r="E18" s="1018" t="s">
        <v>272</v>
      </c>
      <c r="F18" s="1019" t="s">
        <v>272</v>
      </c>
      <c r="G18" s="1020" t="s">
        <v>272</v>
      </c>
      <c r="H18" s="372"/>
      <c r="I18" s="372"/>
      <c r="J18" s="372"/>
      <c r="K18" s="372"/>
      <c r="L18" s="372"/>
      <c r="M18" s="372"/>
      <c r="N18" s="372"/>
    </row>
    <row r="19" spans="1:14" ht="19.5" customHeight="1">
      <c r="A19" s="197" t="str">
        <f>'t14'!A17</f>
        <v>RETRIBUZIONI PERSONALE CON CONTRATTO DI FORMAZIONE E LAVORO</v>
      </c>
      <c r="B19" s="299" t="str">
        <f>'t14'!B17</f>
        <v>P016</v>
      </c>
      <c r="C19" s="296">
        <f>'t14'!D17</f>
        <v>0</v>
      </c>
      <c r="D19" s="375" t="str">
        <f t="shared" si="1"/>
        <v xml:space="preserve"> </v>
      </c>
      <c r="E19" s="1018" t="s">
        <v>272</v>
      </c>
      <c r="F19" s="1019" t="s">
        <v>272</v>
      </c>
      <c r="G19" s="1020" t="s">
        <v>272</v>
      </c>
      <c r="H19" s="372"/>
      <c r="I19" s="372"/>
      <c r="J19" s="372"/>
      <c r="K19" s="372"/>
      <c r="L19" s="372"/>
      <c r="M19" s="372"/>
      <c r="N19" s="372"/>
    </row>
    <row r="20" spans="1:14" ht="19.5" customHeight="1" thickBot="1">
      <c r="A20" s="197" t="str">
        <f>'t14'!A18</f>
        <v>INDENNITA' DI MISSIONE E TRASFERIMENTO</v>
      </c>
      <c r="B20" s="299" t="str">
        <f>'t14'!B18</f>
        <v>P030</v>
      </c>
      <c r="C20" s="296">
        <f>'t14'!D18</f>
        <v>0</v>
      </c>
      <c r="D20" s="375" t="str">
        <f t="shared" si="1"/>
        <v xml:space="preserve"> </v>
      </c>
      <c r="E20" s="1021" t="s">
        <v>272</v>
      </c>
      <c r="F20" s="1022" t="s">
        <v>272</v>
      </c>
      <c r="G20" s="1023" t="s">
        <v>272</v>
      </c>
      <c r="H20" s="372"/>
      <c r="I20" s="372"/>
      <c r="J20" s="372"/>
      <c r="K20" s="372"/>
      <c r="L20" s="372"/>
      <c r="M20" s="372"/>
      <c r="N20" s="372"/>
    </row>
    <row r="21" spans="1:14" ht="30.75" customHeight="1" thickBot="1">
      <c r="A21" s="197" t="str">
        <f>'t14'!A20</f>
        <v>CONTRIBUTI A CARICO DELL'AMM.NE SU COMP. FISSE E ACCESSORIE</v>
      </c>
      <c r="B21" s="299" t="str">
        <f>'t14'!B20</f>
        <v>P055</v>
      </c>
      <c r="C21" s="296">
        <f>'t14'!D20</f>
        <v>0</v>
      </c>
      <c r="D21" s="375" t="str">
        <f t="shared" si="1"/>
        <v xml:space="preserve"> </v>
      </c>
      <c r="E21" s="436" t="str">
        <f>IF(AND(C31=0,B4=0)," ",IF(C31=0,"TABELLA 14 ASSENTE",IF(AND(B4=0,C18=0,C19=0,C25=0),"INSERIRE RETRIBUZIONI",IF(C21=0,"INSERIRE CONTRIBUTI",ROUND((C21/(B4+C18+C19+C25)*100),2)))))</f>
        <v xml:space="preserve"> </v>
      </c>
      <c r="F21" s="1011" t="str">
        <f>IF(AND(B4=0,C31=0)," ",IF(C31=0,"VALORE INCONGRUENTE",IF(C21=0," ",IF(OR(E21&lt;21.675,E21&gt;29.325),"VALORE INCONGRUENTE (Inc. 4)","OK"))))</f>
        <v xml:space="preserve"> </v>
      </c>
      <c r="G21" s="1012"/>
      <c r="H21" s="372"/>
      <c r="I21" s="372"/>
      <c r="J21" s="372"/>
      <c r="K21" s="372"/>
      <c r="L21" s="372"/>
      <c r="M21" s="372"/>
      <c r="N21" s="372"/>
    </row>
    <row r="22" spans="1:14" ht="30.75" customHeight="1" thickBot="1">
      <c r="A22" s="197" t="str">
        <f>'t14'!A21</f>
        <v>QUOTE ANNUE ACCANTONAMENTO TFR O ALTRA IND. FINE SERVIZIO</v>
      </c>
      <c r="B22" s="299" t="str">
        <f>'t14'!B21</f>
        <v>P058</v>
      </c>
      <c r="C22" s="296">
        <f>'t14'!D21</f>
        <v>0</v>
      </c>
      <c r="D22" s="375" t="str">
        <f>IF($B$4=0," ",(IF(C22=0," ",C22/$B$4)))</f>
        <v xml:space="preserve"> </v>
      </c>
      <c r="E22" s="1001" t="str">
        <f>IF($B$4=0,"TABELLE 12 -13 ASSENTI",(IF('t12'!$K$8=0,"TAB. 12 ASSENTE",(IF('t13'!$I$8=0,"TAB. 13 ASSENTE"," ")))))</f>
        <v>TABELLE 12 -13 ASSENTI</v>
      </c>
      <c r="F22" s="1002" t="s">
        <v>272</v>
      </c>
      <c r="G22" s="1003" t="s">
        <v>272</v>
      </c>
      <c r="H22" s="372"/>
      <c r="I22" s="372"/>
      <c r="J22" s="372"/>
      <c r="K22" s="372"/>
      <c r="L22" s="372"/>
      <c r="M22" s="372"/>
      <c r="N22" s="372"/>
    </row>
    <row r="23" spans="1:14" ht="24" customHeight="1" thickBot="1">
      <c r="A23" s="197" t="str">
        <f>'t14'!A22</f>
        <v>IRAP</v>
      </c>
      <c r="B23" s="299" t="str">
        <f>'t14'!B22</f>
        <v>P061</v>
      </c>
      <c r="C23" s="296">
        <f>'t14'!D22</f>
        <v>0</v>
      </c>
      <c r="D23" s="375" t="str">
        <f>IF($B$4=0," ",IF(C23=0," ",C23/$B$4))</f>
        <v xml:space="preserve"> </v>
      </c>
      <c r="E23" s="436" t="str">
        <f>IF(AND(B4=0,C31=0)," ",IF(C31=0,"TABELLA 14 ASSENTE",IF(AND(B4=0,C18=0,C19=0,C25=0),"INSERIRE RETRIBUZIONI",IF(C23=0,"INSERIRE SOMME IRAP",ROUND((C23/(B4+C18+C19+C25)*100),2)))))</f>
        <v xml:space="preserve"> </v>
      </c>
      <c r="F23" s="1011" t="str">
        <f>IF('t14'!G22=1,IF(E23&gt;8.5,"VALORE INCONGRUENTE (Inc.4)","E' stata dichiarata IRAP Commerciale"),IF(AND(B4=0,C31=0)," ",IF(C31=0,"VALORE INCONGRUENTE",IF(C23=0," ",IF(OR(E23&lt;7.65,E23&gt;9.35),"VALORE INCONGRUENTE (Inc.4)","OK")))))</f>
        <v xml:space="preserve"> </v>
      </c>
      <c r="G23" s="1012"/>
      <c r="H23" s="372"/>
      <c r="I23" s="372"/>
      <c r="J23" s="372"/>
      <c r="K23" s="372"/>
      <c r="L23" s="372"/>
      <c r="M23" s="372"/>
      <c r="N23" s="372"/>
    </row>
    <row r="24" spans="1:14" ht="19.5" customHeight="1" thickBot="1">
      <c r="A24" s="197" t="str">
        <f>'t14'!A23</f>
        <v>ONERI PER I CONTRATTI DI SOMMINISTRAZIONE(INTERINALI)</v>
      </c>
      <c r="B24" s="299" t="str">
        <f>'t14'!B23</f>
        <v>P062</v>
      </c>
      <c r="C24" s="297">
        <f>'t14'!D23</f>
        <v>0</v>
      </c>
      <c r="D24" s="377" t="str">
        <f>IF($B$4=0," ",(IF(AND(C24=0,C12&gt;0),"MANCANO GLI ONERI PER I LAVORATORI",IF(C24=0," ",C24/$B$4))))</f>
        <v xml:space="preserve"> </v>
      </c>
      <c r="E24" s="1013" t="str">
        <f>(IF(AND(C24=0,C12&gt;0),"L105 VALORIZZATA; INSERIRE RETRIBUZIONI PER INTERINALI (P062)"," "))</f>
        <v xml:space="preserve"> </v>
      </c>
      <c r="F24" s="1024"/>
      <c r="G24" s="1025"/>
      <c r="H24" s="372"/>
      <c r="I24" s="372"/>
      <c r="J24" s="372"/>
      <c r="K24" s="372"/>
      <c r="L24" s="372"/>
      <c r="M24" s="372"/>
      <c r="N24" s="372"/>
    </row>
    <row r="25" spans="1:14" ht="19.5" customHeight="1">
      <c r="A25" s="197" t="str">
        <f>'t14'!A24</f>
        <v>COMPENSI PER PERSONALE LSU/LPU</v>
      </c>
      <c r="B25" s="299" t="str">
        <f>'t14'!B24</f>
        <v>P065</v>
      </c>
      <c r="C25" s="296">
        <f>'t14'!D24</f>
        <v>0</v>
      </c>
      <c r="D25" s="379" t="str">
        <f t="shared" ref="D25:D30" si="2">IF($B$4=0," ",(IF(C25=0," ",C25/$B$4)))</f>
        <v xml:space="preserve"> </v>
      </c>
      <c r="E25" s="1001" t="str">
        <f>IF($B$4=0,"TABELLE 12 -13 ASSENTI",(IF('t12'!$K$8=0,"TAB. 12 ASSENTE",(IF('t13'!$I$8=0,"TAB. 13 ASSENTE"," ")))))</f>
        <v>TABELLE 12 -13 ASSENTI</v>
      </c>
      <c r="F25" s="1002"/>
      <c r="G25" s="1003"/>
      <c r="H25" s="372"/>
      <c r="I25" s="372"/>
      <c r="J25" s="372"/>
      <c r="K25" s="372"/>
      <c r="L25" s="372"/>
      <c r="M25" s="372"/>
      <c r="N25" s="372"/>
    </row>
    <row r="26" spans="1:14" ht="19.5" customHeight="1">
      <c r="A26" s="197" t="str">
        <f>'t14'!A25</f>
        <v>SOMME RIMBORSATE PER PERSONALE COMAND./FUORI RUOLO/IN CONV.</v>
      </c>
      <c r="B26" s="299" t="str">
        <f>'t14'!B25</f>
        <v>P071</v>
      </c>
      <c r="C26" s="296">
        <f>'t14'!D25</f>
        <v>0</v>
      </c>
      <c r="D26" s="378" t="str">
        <f t="shared" si="2"/>
        <v xml:space="preserve"> </v>
      </c>
      <c r="E26" s="1001"/>
      <c r="F26" s="1002"/>
      <c r="G26" s="1003"/>
      <c r="H26" s="372"/>
      <c r="I26" s="372"/>
      <c r="J26" s="372"/>
      <c r="K26" s="372"/>
      <c r="L26" s="372"/>
      <c r="M26" s="372"/>
      <c r="N26" s="372"/>
    </row>
    <row r="27" spans="1:14" ht="19.5" customHeight="1">
      <c r="A27" s="197" t="str">
        <f>'t14'!A26</f>
        <v>ALTRE SOMME RIMBORSATE ALLE AMMINISTRAZIONI</v>
      </c>
      <c r="B27" s="299" t="str">
        <f>'t14'!B26</f>
        <v>P074</v>
      </c>
      <c r="C27" s="296">
        <f>'t14'!D26</f>
        <v>0</v>
      </c>
      <c r="D27" s="378" t="str">
        <f t="shared" si="2"/>
        <v xml:space="preserve"> </v>
      </c>
      <c r="E27" s="1001"/>
      <c r="F27" s="1002"/>
      <c r="G27" s="1003"/>
      <c r="H27" s="372"/>
      <c r="I27" s="372"/>
      <c r="J27" s="372"/>
      <c r="K27" s="372"/>
      <c r="L27" s="372"/>
      <c r="M27" s="372"/>
      <c r="N27" s="372"/>
    </row>
    <row r="28" spans="1:14" ht="19.5" customHeight="1">
      <c r="A28" s="197" t="str">
        <f>'t14'!A27</f>
        <v>SOMME RICEVUTE DA U.E. E/O PRIVATI (-)</v>
      </c>
      <c r="B28" s="299" t="str">
        <f>'t14'!B27</f>
        <v>P098</v>
      </c>
      <c r="C28" s="296">
        <f>'t14'!D27</f>
        <v>0</v>
      </c>
      <c r="D28" s="378" t="str">
        <f t="shared" si="2"/>
        <v xml:space="preserve"> </v>
      </c>
      <c r="E28" s="1001"/>
      <c r="F28" s="1002"/>
      <c r="G28" s="1003"/>
      <c r="H28" s="372"/>
      <c r="I28" s="372"/>
      <c r="J28" s="372"/>
      <c r="K28" s="372"/>
      <c r="L28" s="372"/>
      <c r="M28" s="372"/>
      <c r="N28" s="372"/>
    </row>
    <row r="29" spans="1:14" ht="19.5" customHeight="1">
      <c r="A29" s="197" t="str">
        <f>'t14'!A28</f>
        <v>RIMBORSI RICEVUTI PER PERS. COMAND./FUORI RUOLO/IN CONV. (-)</v>
      </c>
      <c r="B29" s="299" t="str">
        <f>'t14'!B28</f>
        <v>P090</v>
      </c>
      <c r="C29" s="296">
        <f>'t14'!D28</f>
        <v>0</v>
      </c>
      <c r="D29" s="378" t="str">
        <f t="shared" si="2"/>
        <v xml:space="preserve"> </v>
      </c>
      <c r="E29" s="1001"/>
      <c r="F29" s="1002"/>
      <c r="G29" s="1003"/>
      <c r="H29" s="372"/>
      <c r="I29" s="372"/>
      <c r="J29" s="372"/>
      <c r="K29" s="372"/>
      <c r="L29" s="372"/>
      <c r="M29" s="372"/>
      <c r="N29" s="372"/>
    </row>
    <row r="30" spans="1:14" ht="19.5" customHeight="1" thickBot="1">
      <c r="A30" s="197" t="str">
        <f>'t14'!A29</f>
        <v>ALTRI RIMBORSI RICEVUTI DALLE AMMINISTRAZIONI (-)</v>
      </c>
      <c r="B30" s="299" t="str">
        <f>'t14'!B29</f>
        <v>P099</v>
      </c>
      <c r="C30" s="296">
        <f>'t14'!D29</f>
        <v>0</v>
      </c>
      <c r="D30" s="378" t="str">
        <f t="shared" si="2"/>
        <v xml:space="preserve"> </v>
      </c>
      <c r="E30" s="1004"/>
      <c r="F30" s="1005"/>
      <c r="G30" s="1006"/>
      <c r="H30" s="372"/>
      <c r="I30" s="372"/>
      <c r="J30" s="372"/>
      <c r="K30" s="372"/>
      <c r="L30" s="372"/>
      <c r="M30" s="372"/>
      <c r="N30" s="372"/>
    </row>
    <row r="31" spans="1:14" s="371" customFormat="1" ht="18" customHeight="1">
      <c r="A31" s="369" t="s">
        <v>59</v>
      </c>
      <c r="B31" s="369"/>
      <c r="C31" s="370">
        <f>SUM(C6:C30)</f>
        <v>0</v>
      </c>
      <c r="D31" s="369"/>
      <c r="E31" s="369"/>
      <c r="F31" s="369"/>
      <c r="G31" s="369"/>
      <c r="I31" s="373"/>
      <c r="J31" s="373"/>
      <c r="K31" s="373"/>
      <c r="L31" s="373"/>
      <c r="M31" s="373"/>
      <c r="N31" s="373"/>
    </row>
  </sheetData>
  <sheetProtection password="DD41" sheet="1" formatColumns="0" selectLockedCells="1" selectUnlockedCells="1"/>
  <mergeCells count="16">
    <mergeCell ref="A1:G1"/>
    <mergeCell ref="E25:G30"/>
    <mergeCell ref="E6:G11"/>
    <mergeCell ref="E12:G12"/>
    <mergeCell ref="F21:G21"/>
    <mergeCell ref="F23:G23"/>
    <mergeCell ref="E13:G13"/>
    <mergeCell ref="E17:G20"/>
    <mergeCell ref="E22:G22"/>
    <mergeCell ref="E14:F14"/>
    <mergeCell ref="E15:F15"/>
    <mergeCell ref="E24:G24"/>
    <mergeCell ref="E16:F16"/>
    <mergeCell ref="B2:G2"/>
    <mergeCell ref="B4:G4"/>
    <mergeCell ref="E5:G5"/>
  </mergeCells>
  <phoneticPr fontId="29" type="noConversion"/>
  <printOptions horizontalCentered="1" verticalCentered="1"/>
  <pageMargins left="0.19685039370078741" right="0.23622047244094491" top="0.19685039370078741" bottom="0.19685039370078741" header="0.15748031496062992" footer="0.15748031496062992"/>
  <pageSetup paperSize="9" scale="72" orientation="landscape" horizontalDpi="300" verticalDpi="300" r:id="rId1"/>
  <headerFooter alignWithMargins="0"/>
  <ignoredErrors>
    <ignoredError sqref="D24" formula="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30"/>
  <dimension ref="A1:K7"/>
  <sheetViews>
    <sheetView showGridLines="0" workbookViewId="0">
      <pane ySplit="5" topLeftCell="A6" activePane="bottomLeft" state="frozen"/>
      <selection activeCell="A2" sqref="A2"/>
      <selection pane="bottomLeft" activeCell="A2" sqref="A2"/>
    </sheetView>
  </sheetViews>
  <sheetFormatPr defaultRowHeight="11.25"/>
  <cols>
    <col min="1" max="1" width="38.6640625" style="3" customWidth="1"/>
    <col min="2" max="2" width="11.33203125" style="2" customWidth="1"/>
    <col min="3" max="3" width="21.33203125" style="366" customWidth="1"/>
    <col min="4" max="5" width="21.33203125" style="2" customWidth="1"/>
    <col min="6" max="6" width="21.33203125" style="333" customWidth="1"/>
    <col min="7" max="7" width="21.1640625" style="2" customWidth="1"/>
    <col min="8" max="8" width="9.33203125" style="98" customWidth="1"/>
  </cols>
  <sheetData>
    <row r="1" spans="1:11" s="3" customFormat="1" ht="43.5" customHeight="1">
      <c r="A1" s="1000" t="str">
        <f>'t1'!A1</f>
        <v>Amministrazioni incluse nell'elenco ISTAT art. 1 c.3 legge 196/2009 (lista S13) - anno 2023</v>
      </c>
      <c r="B1" s="1000"/>
      <c r="C1" s="1000"/>
      <c r="D1" s="1000"/>
      <c r="E1" s="1000"/>
      <c r="F1" s="1000"/>
      <c r="G1" s="1000"/>
      <c r="K1"/>
    </row>
    <row r="2" spans="1:11" s="3" customFormat="1" ht="12.75" customHeight="1">
      <c r="C2" s="363"/>
      <c r="D2" s="983"/>
      <c r="E2" s="983"/>
      <c r="F2" s="983"/>
      <c r="G2" s="983"/>
      <c r="H2" s="292"/>
      <c r="K2"/>
    </row>
    <row r="3" spans="1:11" s="3" customFormat="1" ht="33.6" customHeight="1">
      <c r="A3" s="1032" t="s">
        <v>275</v>
      </c>
      <c r="B3" s="1032"/>
      <c r="C3" s="1032"/>
      <c r="D3" s="1032"/>
      <c r="E3" s="1032"/>
      <c r="F3" s="1032"/>
      <c r="G3" s="1032"/>
    </row>
    <row r="4" spans="1:11" ht="53.25" customHeight="1">
      <c r="A4" s="163" t="s">
        <v>216</v>
      </c>
      <c r="B4" s="164" t="s">
        <v>178</v>
      </c>
      <c r="C4" s="364" t="str">
        <f>"Presenti 31.12."&amp;'t1'!L1&amp;" (Tab T1) uomini+donne della tabella T1"</f>
        <v>Presenti 31.12.2023 (Tab T1) uomini+donne della tabella T1</v>
      </c>
      <c r="D4" s="164" t="s">
        <v>270</v>
      </c>
      <c r="E4" s="164" t="s">
        <v>273</v>
      </c>
      <c r="F4" s="367" t="s">
        <v>274</v>
      </c>
      <c r="G4" s="164" t="s">
        <v>276</v>
      </c>
    </row>
    <row r="5" spans="1:11" s="179" customFormat="1">
      <c r="A5" s="162"/>
      <c r="B5" s="174"/>
      <c r="C5" s="365" t="s">
        <v>180</v>
      </c>
      <c r="D5" s="174" t="s">
        <v>181</v>
      </c>
      <c r="E5" s="174" t="s">
        <v>182</v>
      </c>
      <c r="F5" s="368" t="s">
        <v>183</v>
      </c>
      <c r="G5" s="174"/>
      <c r="H5" s="98"/>
    </row>
    <row r="6" spans="1:11" ht="12.75">
      <c r="A6" s="121" t="str">
        <f>'t1'!A6</f>
        <v>PERSONALE DIRIGENTE</v>
      </c>
      <c r="B6" s="95" t="str">
        <f>'t1'!B6</f>
        <v>0D00NF</v>
      </c>
      <c r="C6" s="575">
        <f>('t1'!K6+'t1'!L6)</f>
        <v>0</v>
      </c>
      <c r="D6" s="316">
        <f>'t5'!U7+'t5'!V7</f>
        <v>0</v>
      </c>
      <c r="E6" s="316">
        <f>'t4'!E15</f>
        <v>0</v>
      </c>
      <c r="F6" s="317">
        <f>'t12'!C6</f>
        <v>0</v>
      </c>
      <c r="G6" s="335" t="str">
        <f>IF(OR(AND(NOT(C6),NOT(D6),NOT(E6),NOT(F6)),AND((OR(C6,D6,E6)),F6)),"OK","ERRORE")</f>
        <v>OK</v>
      </c>
    </row>
    <row r="7" spans="1:11" ht="12.75">
      <c r="A7" s="121" t="str">
        <f>'t1'!A7</f>
        <v>PERSONALE NON DIRIGENTE</v>
      </c>
      <c r="B7" s="95" t="str">
        <f>'t1'!B7</f>
        <v>0000ND</v>
      </c>
      <c r="C7" s="575">
        <f>('t1'!K7+'t1'!L7)</f>
        <v>0</v>
      </c>
      <c r="D7" s="316">
        <f>'t5'!U8+'t5'!V8</f>
        <v>0</v>
      </c>
      <c r="E7" s="316">
        <f>'t4'!E16</f>
        <v>0</v>
      </c>
      <c r="F7" s="317">
        <f>'t12'!C7</f>
        <v>0</v>
      </c>
      <c r="G7" s="335" t="str">
        <f>IF(OR(AND(NOT(C7),NOT(D7),NOT(E7),NOT(F7)),AND((OR(C7,D7,E7)),F7)),"OK","ERRORE")</f>
        <v>OK</v>
      </c>
    </row>
  </sheetData>
  <sheetProtection password="DD41" sheet="1" formatColumns="0" selectLockedCells="1" selectUnlockedCells="1"/>
  <mergeCells count="3">
    <mergeCell ref="A1:G1"/>
    <mergeCell ref="D2:G2"/>
    <mergeCell ref="A3:G3"/>
  </mergeCells>
  <phoneticPr fontId="29" type="noConversion"/>
  <printOptions horizontalCentered="1" verticalCentered="1"/>
  <pageMargins left="0.19685039370078741" right="0.19685039370078741" top="0.19685039370078741" bottom="0.15748031496062992" header="0.15748031496062992" footer="0.15748031496062992"/>
  <pageSetup paperSize="9" scale="85" orientation="landscape" horizontalDpi="0" verticalDpi="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31"/>
  <dimension ref="A1:I7"/>
  <sheetViews>
    <sheetView showGridLines="0" workbookViewId="0">
      <pane ySplit="5" topLeftCell="A6" activePane="bottomLeft" state="frozen"/>
      <selection activeCell="A2" sqref="A2"/>
      <selection pane="bottomLeft" activeCell="A5" sqref="A5"/>
    </sheetView>
  </sheetViews>
  <sheetFormatPr defaultRowHeight="11.25"/>
  <cols>
    <col min="1" max="1" width="38.6640625" style="3" customWidth="1"/>
    <col min="2" max="2" width="11.33203125" style="2" customWidth="1"/>
    <col min="3" max="3" width="17.6640625" style="2" customWidth="1"/>
    <col min="4" max="4" width="26.6640625" style="333" customWidth="1"/>
    <col min="5" max="5" width="15.6640625" style="2" customWidth="1"/>
    <col min="6" max="6" width="9.33203125" style="98" customWidth="1"/>
  </cols>
  <sheetData>
    <row r="1" spans="1:9" s="3" customFormat="1" ht="43.5" customHeight="1">
      <c r="A1" s="912" t="str">
        <f>'t1'!A1</f>
        <v>Amministrazioni incluse nell'elenco ISTAT art. 1 c.3 legge 196/2009 (lista S13) - anno 2023</v>
      </c>
      <c r="B1" s="912"/>
      <c r="C1" s="912"/>
      <c r="D1" s="912"/>
      <c r="E1" s="912"/>
      <c r="I1"/>
    </row>
    <row r="2" spans="1:9" s="3" customFormat="1" ht="12.75" customHeight="1">
      <c r="C2" s="983"/>
      <c r="D2" s="983"/>
      <c r="E2" s="983"/>
      <c r="F2" s="292"/>
      <c r="I2"/>
    </row>
    <row r="3" spans="1:9" s="3" customFormat="1" ht="34.9" customHeight="1">
      <c r="A3" s="1032" t="s">
        <v>308</v>
      </c>
      <c r="B3" s="1032"/>
      <c r="C3" s="1032"/>
      <c r="D3" s="1032"/>
      <c r="E3" s="1032"/>
    </row>
    <row r="4" spans="1:9" ht="81.75" customHeight="1">
      <c r="A4" s="163" t="s">
        <v>216</v>
      </c>
      <c r="B4" s="164" t="s">
        <v>178</v>
      </c>
      <c r="C4" s="164" t="s">
        <v>271</v>
      </c>
      <c r="D4" s="367" t="s">
        <v>291</v>
      </c>
      <c r="E4" s="164" t="s">
        <v>281</v>
      </c>
    </row>
    <row r="5" spans="1:9" s="179" customFormat="1">
      <c r="A5" s="162"/>
      <c r="B5" s="174"/>
      <c r="C5" s="174" t="s">
        <v>180</v>
      </c>
      <c r="D5" s="368" t="s">
        <v>181</v>
      </c>
      <c r="E5" s="174"/>
      <c r="F5" s="178"/>
    </row>
    <row r="6" spans="1:9" ht="12.75">
      <c r="A6" s="121" t="str">
        <f>'t1'!A6</f>
        <v>PERSONALE DIRIGENTE</v>
      </c>
      <c r="B6" s="95" t="str">
        <f>'t1'!B6</f>
        <v>0D00NF</v>
      </c>
      <c r="C6" s="316">
        <f>'t13'!I6</f>
        <v>0</v>
      </c>
      <c r="D6" s="317">
        <f>('t3'!K6+'t3'!L6+'t3'!M6+'t3'!N6+'t3'!O6+'t3'!P6)+('t12'!C6/12)</f>
        <v>0</v>
      </c>
      <c r="E6" s="335" t="str">
        <f>IF(OR((NOT(C6)),(AND(C6&gt;=0,D6&gt;0))),"OK","ERRORE")</f>
        <v>OK</v>
      </c>
    </row>
    <row r="7" spans="1:9" ht="12.75">
      <c r="A7" s="121" t="str">
        <f>'t1'!A7</f>
        <v>PERSONALE NON DIRIGENTE</v>
      </c>
      <c r="B7" s="95" t="str">
        <f>'t1'!B7</f>
        <v>0000ND</v>
      </c>
      <c r="C7" s="316">
        <f>'t13'!I7</f>
        <v>0</v>
      </c>
      <c r="D7" s="317">
        <f>('t3'!K7+'t3'!L7+'t3'!M7+'t3'!N7+'t3'!O7+'t3'!P7)+('t12'!C7/12)</f>
        <v>0</v>
      </c>
      <c r="E7" s="335" t="str">
        <f>IF(OR((NOT(C7)),(AND(C7&gt;=0,D7&gt;0))),"OK","ERRORE")</f>
        <v>OK</v>
      </c>
    </row>
  </sheetData>
  <sheetProtection password="DD41" sheet="1" formatColumns="0" selectLockedCells="1" selectUnlockedCells="1"/>
  <mergeCells count="3">
    <mergeCell ref="A1:E1"/>
    <mergeCell ref="C2:E2"/>
    <mergeCell ref="A3:E3"/>
  </mergeCells>
  <phoneticPr fontId="29" type="noConversion"/>
  <printOptions horizontalCentered="1" verticalCentered="1"/>
  <pageMargins left="0.19685039370078741" right="0.19685039370078741" top="0.19685039370078741" bottom="0.15748031496062992" header="0.15748031496062992" footer="0.15748031496062992"/>
  <pageSetup paperSize="9" scale="85" orientation="landscape" horizontalDpi="0" verticalDpi="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28"/>
  <dimension ref="A1:N7"/>
  <sheetViews>
    <sheetView showGridLines="0" workbookViewId="0">
      <pane xSplit="2" ySplit="5" topLeftCell="C6" activePane="bottomRight" state="frozen"/>
      <selection activeCell="A2" sqref="A2"/>
      <selection pane="topRight" activeCell="A2" sqref="A2"/>
      <selection pane="bottomLeft" activeCell="A2" sqref="A2"/>
      <selection pane="bottomRight" activeCell="A2" sqref="A2"/>
    </sheetView>
  </sheetViews>
  <sheetFormatPr defaultRowHeight="11.25"/>
  <cols>
    <col min="1" max="1" width="32.5" style="3" customWidth="1"/>
    <col min="2" max="2" width="10" style="2" customWidth="1"/>
    <col min="3" max="9" width="12.6640625" style="2" customWidth="1"/>
    <col min="10" max="11" width="16.6640625" style="2" hidden="1" customWidth="1"/>
    <col min="12" max="12" width="60.5" customWidth="1"/>
  </cols>
  <sheetData>
    <row r="1" spans="1:14" s="3" customFormat="1" ht="43.5" customHeight="1">
      <c r="A1" s="912" t="str">
        <f>'t1'!A1</f>
        <v>Amministrazioni incluse nell'elenco ISTAT art. 1 c.3 legge 196/2009 (lista S13) - anno 2023</v>
      </c>
      <c r="B1" s="912"/>
      <c r="C1" s="912"/>
      <c r="D1" s="912"/>
      <c r="E1" s="912"/>
      <c r="F1" s="912"/>
      <c r="G1" s="912"/>
      <c r="H1" s="912"/>
      <c r="I1" s="912"/>
      <c r="J1" s="912"/>
      <c r="K1" s="912"/>
      <c r="L1" s="912"/>
      <c r="N1"/>
    </row>
    <row r="2" spans="1:14" s="3" customFormat="1" ht="12.75" customHeight="1">
      <c r="D2" s="983"/>
      <c r="E2" s="983"/>
      <c r="F2" s="983"/>
      <c r="G2" s="983"/>
      <c r="H2" s="983"/>
      <c r="I2" s="983"/>
      <c r="J2" s="983"/>
      <c r="K2" s="983"/>
      <c r="N2"/>
    </row>
    <row r="3" spans="1:14" s="3" customFormat="1" ht="31.15" customHeight="1">
      <c r="A3" s="1033" t="s">
        <v>482</v>
      </c>
      <c r="B3" s="1033"/>
      <c r="C3" s="1033"/>
      <c r="D3" s="1033"/>
      <c r="E3" s="1033"/>
      <c r="F3" s="1033"/>
      <c r="G3" s="1033"/>
      <c r="H3" s="1033"/>
      <c r="I3" s="1033"/>
      <c r="J3" s="1033"/>
      <c r="K3" s="1033"/>
      <c r="L3" s="1033"/>
    </row>
    <row r="4" spans="1:14" ht="45">
      <c r="A4" s="163" t="s">
        <v>216</v>
      </c>
      <c r="B4" s="164" t="s">
        <v>178</v>
      </c>
      <c r="C4" s="164" t="s">
        <v>36</v>
      </c>
      <c r="D4" s="164" t="s">
        <v>37</v>
      </c>
      <c r="E4" s="164" t="s">
        <v>38</v>
      </c>
      <c r="F4" s="164" t="s">
        <v>39</v>
      </c>
      <c r="G4" s="164" t="s">
        <v>40</v>
      </c>
      <c r="H4" s="164" t="s">
        <v>41</v>
      </c>
      <c r="I4" s="164" t="s">
        <v>42</v>
      </c>
      <c r="J4" s="164" t="s">
        <v>43</v>
      </c>
      <c r="K4" s="164" t="s">
        <v>44</v>
      </c>
      <c r="L4" s="492" t="s">
        <v>374</v>
      </c>
    </row>
    <row r="5" spans="1:14" s="179" customFormat="1" ht="56.25" hidden="1">
      <c r="A5" s="162"/>
      <c r="B5" s="174"/>
      <c r="C5" s="174" t="s">
        <v>180</v>
      </c>
      <c r="D5" s="174" t="s">
        <v>181</v>
      </c>
      <c r="E5" s="174" t="s">
        <v>182</v>
      </c>
      <c r="F5" s="174" t="s">
        <v>183</v>
      </c>
      <c r="G5" s="174" t="s">
        <v>184</v>
      </c>
      <c r="H5" s="174" t="s">
        <v>204</v>
      </c>
      <c r="I5" s="174"/>
      <c r="J5" s="534" t="s">
        <v>387</v>
      </c>
      <c r="K5" s="534" t="s">
        <v>452</v>
      </c>
      <c r="L5" s="536"/>
    </row>
    <row r="6" spans="1:14" ht="12.75">
      <c r="A6" s="121" t="str">
        <f>'t1'!A6</f>
        <v>PERSONALE DIRIGENTE</v>
      </c>
      <c r="B6" s="95" t="str">
        <f>'t1'!B6</f>
        <v>0D00NF</v>
      </c>
      <c r="C6" s="316">
        <f>'t11'!W8+'t11'!X8</f>
        <v>0</v>
      </c>
      <c r="D6" s="316">
        <f>'t1'!K6+'t1'!L6</f>
        <v>0</v>
      </c>
      <c r="E6" s="316">
        <f>'t3'!K6+'t3'!L6+'t3'!M6+'t3'!N6+'t3'!O6+'t3'!P6</f>
        <v>0</v>
      </c>
      <c r="F6" s="316">
        <f>'t4'!E15</f>
        <v>0</v>
      </c>
      <c r="G6" s="314">
        <f>'t4'!C17</f>
        <v>0</v>
      </c>
      <c r="H6" s="316">
        <f>'t5'!U7+'t5'!V7</f>
        <v>0</v>
      </c>
      <c r="I6" s="335" t="str">
        <f>IF(AND(J6="OK",K6="OK"),"OK","ERRORE")</f>
        <v>OK</v>
      </c>
      <c r="J6" s="335" t="str">
        <f>IF(AND(C6&gt;0,D6=0,E6=0,F6=0,G6=0,H6=0),"KO","OK")</f>
        <v>OK</v>
      </c>
      <c r="K6" s="335" t="str">
        <f>IF(AND(C6=0,OR(D6&gt;0,E6&gt;0,F6&gt;0,G6&gt;0,H6&gt;0)),"KO","OK")</f>
        <v>OK</v>
      </c>
      <c r="L6" s="537" t="str">
        <f>IF(K6="KO",$K$5,IF(J6="KO",$J$5,""))</f>
        <v/>
      </c>
    </row>
    <row r="7" spans="1:14" ht="12.75">
      <c r="A7" s="121" t="str">
        <f>'t1'!A7</f>
        <v>PERSONALE NON DIRIGENTE</v>
      </c>
      <c r="B7" s="95" t="str">
        <f>'t1'!B7</f>
        <v>0000ND</v>
      </c>
      <c r="C7" s="316">
        <f>'t11'!W9+'t11'!X9</f>
        <v>0</v>
      </c>
      <c r="D7" s="316">
        <f>'t1'!K7+'t1'!L7</f>
        <v>0</v>
      </c>
      <c r="E7" s="316">
        <f>'t3'!K7+'t3'!L7+'t3'!M7+'t3'!N7+'t3'!O7+'t3'!P7</f>
        <v>0</v>
      </c>
      <c r="F7" s="316">
        <f>'t4'!E16</f>
        <v>0</v>
      </c>
      <c r="G7" s="314">
        <f>'t4'!D17</f>
        <v>0</v>
      </c>
      <c r="H7" s="316">
        <f>'t5'!U8+'t5'!V8</f>
        <v>0</v>
      </c>
      <c r="I7" s="335" t="str">
        <f>IF(AND(J7="OK",K7="OK"),"OK","ERRORE")</f>
        <v>OK</v>
      </c>
      <c r="J7" s="335" t="str">
        <f>IF(AND(C7&gt;0,D7=0,E7=0,F7=0,G7=0,H7=0),"KO","OK")</f>
        <v>OK</v>
      </c>
      <c r="K7" s="335" t="str">
        <f>IF(AND(C7=0,OR(D7&gt;0,E7&gt;0,F7&gt;0,G7&gt;0,H7&gt;0)),"KO","OK")</f>
        <v>OK</v>
      </c>
      <c r="L7" s="537" t="str">
        <f>IF(K7="KO",$K$5,IF(J7="KO",$J$5,""))</f>
        <v/>
      </c>
    </row>
  </sheetData>
  <sheetProtection password="DD41" sheet="1" formatColumns="0" selectLockedCells="1" selectUnlockedCells="1"/>
  <mergeCells count="3">
    <mergeCell ref="D2:K2"/>
    <mergeCell ref="A1:L1"/>
    <mergeCell ref="A3:L3"/>
  </mergeCells>
  <phoneticPr fontId="29" type="noConversion"/>
  <conditionalFormatting sqref="I6:I7">
    <cfRule type="notContainsText" dxfId="2" priority="1" stopIfTrue="1" operator="notContains" text="ok">
      <formula>ISERROR(SEARCH("ok",I6))</formula>
    </cfRule>
  </conditionalFormatting>
  <printOptions horizontalCentered="1"/>
  <pageMargins left="0.19685039370078741" right="0.19685039370078741" top="0.19685039370078741" bottom="0.15748031496062992" header="0.15748031496062992" footer="0.15748031496062992"/>
  <pageSetup paperSize="9" scale="75" orientation="landscape" horizontalDpi="0" verticalDpi="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glio33"/>
  <dimension ref="A1:M7"/>
  <sheetViews>
    <sheetView showGridLines="0" workbookViewId="0">
      <pane xSplit="2" ySplit="5" topLeftCell="C6" activePane="bottomRight" state="frozen"/>
      <selection pane="topRight" activeCell="C1" sqref="C1"/>
      <selection pane="bottomLeft" activeCell="A6" sqref="A6"/>
      <selection pane="bottomRight" activeCell="A5" sqref="A5"/>
    </sheetView>
  </sheetViews>
  <sheetFormatPr defaultRowHeight="11.25"/>
  <cols>
    <col min="1" max="1" width="38.6640625" style="3" customWidth="1"/>
    <col min="2" max="2" width="10" style="2" customWidth="1"/>
    <col min="3" max="4" width="17.6640625" style="2" customWidth="1"/>
    <col min="5" max="5" width="16.33203125" style="2" customWidth="1"/>
    <col min="6" max="6" width="15.6640625" style="98" customWidth="1"/>
    <col min="7" max="7" width="18.33203125" style="98" customWidth="1"/>
    <col min="8" max="8" width="16.33203125" style="2" customWidth="1"/>
    <col min="9" max="9" width="15.6640625" style="98" customWidth="1"/>
    <col min="10" max="10" width="18.33203125" style="2" customWidth="1"/>
  </cols>
  <sheetData>
    <row r="1" spans="1:13" s="3" customFormat="1" ht="43.5" customHeight="1">
      <c r="A1" s="912" t="str">
        <f>'t1'!A1</f>
        <v>Amministrazioni incluse nell'elenco ISTAT art. 1 c.3 legge 196/2009 (lista S13) - anno 2023</v>
      </c>
      <c r="B1" s="912"/>
      <c r="C1" s="912"/>
      <c r="D1" s="912"/>
      <c r="E1" s="912"/>
      <c r="F1" s="912"/>
      <c r="G1" s="912"/>
      <c r="H1" s="912"/>
      <c r="I1" s="912"/>
      <c r="J1" s="912"/>
      <c r="M1"/>
    </row>
    <row r="2" spans="1:13" s="3" customFormat="1" ht="12.75" customHeight="1">
      <c r="D2" s="983"/>
      <c r="E2" s="983"/>
      <c r="F2" s="983"/>
      <c r="G2" s="983"/>
      <c r="H2" s="983"/>
      <c r="I2" s="983"/>
      <c r="J2" s="983"/>
      <c r="M2"/>
    </row>
    <row r="3" spans="1:13" s="3" customFormat="1" ht="21" customHeight="1">
      <c r="A3" s="176" t="s">
        <v>368</v>
      </c>
      <c r="B3" s="2"/>
      <c r="C3" s="2"/>
    </row>
    <row r="4" spans="1:13" ht="33.75">
      <c r="A4" s="163" t="s">
        <v>216</v>
      </c>
      <c r="B4" s="164" t="s">
        <v>178</v>
      </c>
      <c r="C4" s="492" t="s">
        <v>271</v>
      </c>
      <c r="D4" s="164" t="s">
        <v>278</v>
      </c>
      <c r="E4" s="492" t="s">
        <v>361</v>
      </c>
      <c r="F4" s="492" t="s">
        <v>367</v>
      </c>
      <c r="G4" s="164" t="s">
        <v>313</v>
      </c>
      <c r="H4" s="492" t="s">
        <v>362</v>
      </c>
      <c r="I4" s="492" t="s">
        <v>367</v>
      </c>
      <c r="J4" s="492" t="s">
        <v>363</v>
      </c>
    </row>
    <row r="5" spans="1:13" s="179" customFormat="1">
      <c r="A5" s="162"/>
      <c r="B5" s="174"/>
      <c r="C5" s="174" t="s">
        <v>180</v>
      </c>
      <c r="D5" s="174" t="s">
        <v>181</v>
      </c>
      <c r="E5" s="174" t="s">
        <v>359</v>
      </c>
      <c r="F5" s="174" t="s">
        <v>365</v>
      </c>
      <c r="G5" s="174" t="s">
        <v>184</v>
      </c>
      <c r="H5" s="174" t="s">
        <v>360</v>
      </c>
      <c r="I5" s="174" t="s">
        <v>366</v>
      </c>
      <c r="J5" s="174"/>
    </row>
    <row r="6" spans="1:13" ht="12.75">
      <c r="A6" s="121" t="str">
        <f>'t1'!A6</f>
        <v>PERSONALE DIRIGENTE</v>
      </c>
      <c r="B6" s="95" t="str">
        <f>'t1'!B6</f>
        <v>0D00NF</v>
      </c>
      <c r="C6" s="316">
        <f>'t13'!I6</f>
        <v>0</v>
      </c>
      <c r="D6" s="316">
        <f>'t13'!F6</f>
        <v>0</v>
      </c>
      <c r="E6" s="318" t="str">
        <f>IF($C6=0," ",IF(D6=0," ",D6/$C6))</f>
        <v xml:space="preserve"> </v>
      </c>
      <c r="F6" s="298" t="str">
        <f>IF($C6=0," ",IF(D6=0," ",IF(E6&gt;0.2,"ERRORE","OK")))</f>
        <v xml:space="preserve"> </v>
      </c>
      <c r="G6" s="316">
        <v>0</v>
      </c>
      <c r="H6" s="318" t="str">
        <f>IF($C6=0," ",IF(G6=0," ",G6/$C6))</f>
        <v xml:space="preserve"> </v>
      </c>
      <c r="I6" s="298" t="str">
        <f>IF($C6=0," ",IF(G6=0," ",IF(H6&gt;0.2,"ERRORE","OK")))</f>
        <v xml:space="preserve"> </v>
      </c>
      <c r="J6" s="335" t="str">
        <f>IF(OR(F6="ERRORE",I6="ERRORE"),"ERRORE","OK")</f>
        <v>OK</v>
      </c>
    </row>
    <row r="7" spans="1:13" ht="12.75">
      <c r="A7" s="121" t="str">
        <f>'t1'!A7</f>
        <v>PERSONALE NON DIRIGENTE</v>
      </c>
      <c r="B7" s="95" t="str">
        <f>'t1'!B7</f>
        <v>0000ND</v>
      </c>
      <c r="C7" s="316">
        <f>'t13'!I7</f>
        <v>0</v>
      </c>
      <c r="D7" s="316">
        <f>'t13'!F7</f>
        <v>0</v>
      </c>
      <c r="E7" s="318" t="str">
        <f>IF($C7=0," ",IF(D7=0," ",D7/$C7))</f>
        <v xml:space="preserve"> </v>
      </c>
      <c r="F7" s="298" t="str">
        <f>IF($C7=0," ",IF(D7=0," ",IF(E7&gt;0.2,"ERRORE","OK")))</f>
        <v xml:space="preserve"> </v>
      </c>
      <c r="G7" s="316">
        <v>0</v>
      </c>
      <c r="H7" s="318" t="str">
        <f>IF($C7=0," ",IF(G7=0," ",G7/$C7))</f>
        <v xml:space="preserve"> </v>
      </c>
      <c r="I7" s="298" t="str">
        <f>IF($C7=0," ",IF(G7=0," ",IF(H7&gt;0.2,"ERRORE","OK")))</f>
        <v xml:space="preserve"> </v>
      </c>
      <c r="J7" s="335" t="str">
        <f>IF(OR(F7="ERRORE",I7="ERRORE"),"ERRORE","OK")</f>
        <v>OK</v>
      </c>
    </row>
  </sheetData>
  <sheetProtection password="DD41" sheet="1" formatColumns="0" selectLockedCells="1" selectUnlockedCells="1"/>
  <mergeCells count="2">
    <mergeCell ref="A1:J1"/>
    <mergeCell ref="D2:J2"/>
  </mergeCells>
  <printOptions horizontalCentered="1"/>
  <pageMargins left="0.23622047244094491" right="0.23622047244094491" top="0.19685039370078741" bottom="0.15748031496062992" header="0.15748031496062992" footer="0.15748031496062992"/>
  <pageSetup paperSize="9" scale="85" orientation="landscape" horizontalDpi="0" verticalDpi="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32"/>
  <dimension ref="A1:AQ21"/>
  <sheetViews>
    <sheetView showGridLines="0" zoomScaleNormal="100" workbookViewId="0">
      <selection activeCell="AA6" sqref="AA6"/>
    </sheetView>
  </sheetViews>
  <sheetFormatPr defaultColWidth="9.33203125" defaultRowHeight="11.25"/>
  <cols>
    <col min="1" max="1" width="33" style="3" customWidth="1"/>
    <col min="2" max="2" width="13.33203125" style="2" hidden="1" customWidth="1"/>
    <col min="3" max="8" width="11.1640625" style="3" hidden="1" customWidth="1"/>
    <col min="9" max="16" width="10.6640625" style="3" hidden="1" customWidth="1"/>
    <col min="17" max="26" width="9.33203125" style="3" hidden="1" customWidth="1"/>
    <col min="27" max="32" width="9.33203125" style="3" customWidth="1"/>
    <col min="33" max="36" width="11.1640625" style="3" customWidth="1"/>
    <col min="37" max="37" width="11.1640625" style="3" hidden="1" customWidth="1"/>
    <col min="38" max="38" width="11.1640625" style="3" customWidth="1"/>
    <col min="39" max="46" width="10.6640625" style="3" customWidth="1"/>
    <col min="47" max="47" width="9.33203125" style="3" customWidth="1"/>
    <col min="48" max="16384" width="9.33203125" style="3"/>
  </cols>
  <sheetData>
    <row r="1" spans="1:43" ht="43.5" customHeight="1">
      <c r="A1" s="894" t="str">
        <f>'t1'!A1</f>
        <v>Amministrazioni incluse nell'elenco ISTAT art. 1 c.3 legge 196/2009 (lista S13) - anno 2023</v>
      </c>
      <c r="B1" s="894"/>
      <c r="C1" s="894"/>
      <c r="D1" s="894"/>
      <c r="E1" s="894"/>
      <c r="F1" s="894"/>
      <c r="G1" s="894"/>
      <c r="H1" s="894"/>
      <c r="I1" s="894"/>
      <c r="J1" s="894"/>
      <c r="K1" s="894"/>
      <c r="L1" s="894"/>
      <c r="M1" s="894"/>
      <c r="N1" s="894"/>
      <c r="O1" s="894"/>
      <c r="P1" s="894"/>
      <c r="Q1" s="894"/>
      <c r="R1" s="894"/>
      <c r="S1" s="894"/>
      <c r="T1" s="894"/>
      <c r="U1" s="894"/>
      <c r="V1" s="894"/>
      <c r="W1" s="894"/>
      <c r="X1" s="894"/>
      <c r="Y1" s="894"/>
      <c r="Z1" s="894"/>
      <c r="AA1" s="894"/>
      <c r="AB1" s="894"/>
      <c r="AC1" s="894"/>
      <c r="AD1" s="894"/>
      <c r="AE1" s="894"/>
      <c r="AF1" s="894"/>
      <c r="AG1" s="894"/>
      <c r="AH1" s="894"/>
      <c r="AK1" s="753" t="s">
        <v>445</v>
      </c>
      <c r="AP1" s="584"/>
      <c r="AQ1"/>
    </row>
    <row r="2" spans="1:43" ht="30" customHeight="1" thickBot="1">
      <c r="A2" s="5"/>
      <c r="G2" s="754"/>
      <c r="H2" s="754"/>
      <c r="I2" s="754"/>
      <c r="J2" s="754"/>
      <c r="AK2" s="755" t="s">
        <v>446</v>
      </c>
    </row>
    <row r="3" spans="1:43" ht="24.75" customHeight="1" thickBot="1">
      <c r="A3" s="6"/>
      <c r="B3" s="7"/>
      <c r="C3" s="756" t="s">
        <v>231</v>
      </c>
      <c r="D3" s="8"/>
      <c r="E3" s="8"/>
      <c r="F3" s="8"/>
      <c r="G3" s="757"/>
      <c r="H3" s="757"/>
      <c r="I3" s="757"/>
      <c r="J3" s="757"/>
      <c r="Y3" s="756" t="s">
        <v>231</v>
      </c>
      <c r="Z3" s="8"/>
      <c r="AA3" s="8"/>
      <c r="AB3" s="8"/>
      <c r="AC3" s="8"/>
      <c r="AD3" s="8"/>
      <c r="AE3" s="8"/>
      <c r="AF3" s="8"/>
      <c r="AG3" s="8"/>
      <c r="AH3" s="112"/>
      <c r="AK3" s="822">
        <v>2</v>
      </c>
    </row>
    <row r="4" spans="1:43" ht="52.5" customHeight="1" thickTop="1">
      <c r="A4" s="758" t="s">
        <v>88</v>
      </c>
      <c r="B4" s="759" t="s">
        <v>56</v>
      </c>
      <c r="C4" s="118" t="s">
        <v>117</v>
      </c>
      <c r="D4" s="760"/>
      <c r="E4" s="118" t="s">
        <v>118</v>
      </c>
      <c r="F4" s="760"/>
      <c r="G4" s="118" t="s">
        <v>46</v>
      </c>
      <c r="H4" s="760"/>
      <c r="I4" s="118" t="s">
        <v>496</v>
      </c>
      <c r="J4" s="760"/>
      <c r="AA4" s="118" t="s">
        <v>117</v>
      </c>
      <c r="AB4" s="760"/>
      <c r="AC4" s="118" t="s">
        <v>118</v>
      </c>
      <c r="AD4" s="760"/>
      <c r="AE4" s="118" t="s">
        <v>46</v>
      </c>
      <c r="AF4" s="760"/>
      <c r="AG4" s="118" t="s">
        <v>496</v>
      </c>
      <c r="AH4" s="761"/>
    </row>
    <row r="5" spans="1:43" ht="20.25" customHeight="1" thickBot="1">
      <c r="A5" s="762"/>
      <c r="B5" s="763"/>
      <c r="C5" s="764" t="s">
        <v>57</v>
      </c>
      <c r="D5" s="765" t="s">
        <v>58</v>
      </c>
      <c r="E5" s="764" t="s">
        <v>57</v>
      </c>
      <c r="F5" s="765" t="s">
        <v>58</v>
      </c>
      <c r="G5" s="764" t="s">
        <v>57</v>
      </c>
      <c r="H5" s="765" t="s">
        <v>58</v>
      </c>
      <c r="I5" s="764" t="s">
        <v>57</v>
      </c>
      <c r="J5" s="765" t="s">
        <v>58</v>
      </c>
      <c r="AA5" s="764" t="s">
        <v>57</v>
      </c>
      <c r="AB5" s="765" t="s">
        <v>58</v>
      </c>
      <c r="AC5" s="764" t="s">
        <v>57</v>
      </c>
      <c r="AD5" s="765" t="s">
        <v>58</v>
      </c>
      <c r="AE5" s="764" t="s">
        <v>57</v>
      </c>
      <c r="AF5" s="765" t="s">
        <v>58</v>
      </c>
      <c r="AG5" s="764" t="s">
        <v>57</v>
      </c>
      <c r="AH5" s="766" t="s">
        <v>58</v>
      </c>
    </row>
    <row r="6" spans="1:43" ht="20.25" customHeight="1" thickTop="1" thickBot="1">
      <c r="A6" s="767" t="s">
        <v>535</v>
      </c>
      <c r="B6" s="768" t="s">
        <v>396</v>
      </c>
      <c r="C6" s="778">
        <f t="shared" ref="C6:J6" si="0">ROUND(AA6,2)</f>
        <v>0</v>
      </c>
      <c r="D6" s="779">
        <f t="shared" si="0"/>
        <v>0</v>
      </c>
      <c r="E6" s="778">
        <f t="shared" si="0"/>
        <v>0</v>
      </c>
      <c r="F6" s="779">
        <f t="shared" si="0"/>
        <v>0</v>
      </c>
      <c r="G6" s="778">
        <f t="shared" si="0"/>
        <v>0</v>
      </c>
      <c r="H6" s="779">
        <f t="shared" si="0"/>
        <v>0</v>
      </c>
      <c r="I6" s="778">
        <f t="shared" si="0"/>
        <v>0</v>
      </c>
      <c r="J6" s="779">
        <f t="shared" si="0"/>
        <v>0</v>
      </c>
      <c r="AA6" s="778"/>
      <c r="AB6" s="779"/>
      <c r="AC6" s="778"/>
      <c r="AD6" s="779"/>
      <c r="AE6" s="778"/>
      <c r="AF6" s="779"/>
      <c r="AG6" s="778"/>
      <c r="AH6" s="784"/>
    </row>
    <row r="7" spans="1:43" ht="33" customHeight="1" thickTop="1" thickBot="1">
      <c r="A7" s="10" t="s">
        <v>59</v>
      </c>
      <c r="B7" s="9"/>
      <c r="C7" s="769">
        <f t="shared" ref="C7:J7" si="1">SUM(C6:C6)</f>
        <v>0</v>
      </c>
      <c r="D7" s="770">
        <f t="shared" si="1"/>
        <v>0</v>
      </c>
      <c r="E7" s="769">
        <f t="shared" si="1"/>
        <v>0</v>
      </c>
      <c r="F7" s="770">
        <f t="shared" si="1"/>
        <v>0</v>
      </c>
      <c r="G7" s="769">
        <f t="shared" si="1"/>
        <v>0</v>
      </c>
      <c r="H7" s="770">
        <f t="shared" si="1"/>
        <v>0</v>
      </c>
      <c r="I7" s="769">
        <f t="shared" si="1"/>
        <v>0</v>
      </c>
      <c r="J7" s="770">
        <f t="shared" si="1"/>
        <v>0</v>
      </c>
      <c r="AA7" s="769">
        <f t="shared" ref="AA7:AH7" si="2">SUM(AA6:AA6)</f>
        <v>0</v>
      </c>
      <c r="AB7" s="770">
        <f t="shared" si="2"/>
        <v>0</v>
      </c>
      <c r="AC7" s="769">
        <f t="shared" si="2"/>
        <v>0</v>
      </c>
      <c r="AD7" s="770">
        <f t="shared" si="2"/>
        <v>0</v>
      </c>
      <c r="AE7" s="769">
        <f t="shared" si="2"/>
        <v>0</v>
      </c>
      <c r="AF7" s="770">
        <f t="shared" si="2"/>
        <v>0</v>
      </c>
      <c r="AG7" s="769">
        <f t="shared" si="2"/>
        <v>0</v>
      </c>
      <c r="AH7" s="771">
        <f t="shared" si="2"/>
        <v>0</v>
      </c>
    </row>
    <row r="8" spans="1:43" ht="8.25" customHeight="1">
      <c r="A8" s="635"/>
    </row>
    <row r="9" spans="1:43" ht="12.75">
      <c r="A9" s="772"/>
    </row>
    <row r="10" spans="1:43" ht="14.25">
      <c r="A10" s="895" t="s">
        <v>526</v>
      </c>
      <c r="B10" s="895"/>
      <c r="C10" s="895"/>
      <c r="D10" s="895"/>
      <c r="E10" s="895"/>
      <c r="F10" s="895"/>
      <c r="G10" s="895"/>
      <c r="H10" s="895"/>
      <c r="I10" s="895"/>
      <c r="J10" s="895"/>
      <c r="K10" s="895"/>
      <c r="L10" s="895"/>
      <c r="M10" s="895"/>
      <c r="N10" s="895"/>
      <c r="O10" s="895"/>
      <c r="P10" s="895"/>
      <c r="Q10" s="895"/>
      <c r="R10" s="895"/>
      <c r="S10" s="895"/>
      <c r="T10" s="895"/>
      <c r="U10" s="895"/>
      <c r="V10" s="895"/>
      <c r="W10" s="895"/>
      <c r="X10" s="895"/>
      <c r="Y10" s="895"/>
      <c r="Z10" s="895"/>
      <c r="AA10" s="895"/>
      <c r="AB10" s="895"/>
      <c r="AC10" s="895"/>
    </row>
    <row r="11" spans="1:43" ht="14.25">
      <c r="A11" s="773"/>
      <c r="B11" s="773"/>
      <c r="C11" s="773"/>
      <c r="D11" s="773"/>
      <c r="E11" s="773"/>
      <c r="F11" s="773"/>
      <c r="G11" s="773"/>
      <c r="H11" s="773"/>
      <c r="I11" s="773"/>
      <c r="J11" s="773"/>
      <c r="K11" s="773"/>
      <c r="L11" s="773"/>
      <c r="M11" s="773"/>
      <c r="N11" s="773"/>
      <c r="O11" s="773"/>
      <c r="P11" s="773"/>
      <c r="Q11" s="773"/>
      <c r="R11" s="773"/>
      <c r="S11" s="773"/>
      <c r="T11" s="773"/>
      <c r="U11" s="773"/>
      <c r="V11" s="773"/>
      <c r="W11" s="773"/>
      <c r="X11" s="773"/>
      <c r="Y11" s="773"/>
      <c r="Z11" s="773"/>
      <c r="AA11" s="773"/>
      <c r="AB11" s="773"/>
      <c r="AC11" s="773"/>
    </row>
    <row r="12" spans="1:43">
      <c r="AA12"/>
    </row>
    <row r="13" spans="1:43" ht="30" customHeight="1" thickBot="1">
      <c r="A13" s="5"/>
      <c r="C13" s="774"/>
      <c r="D13" s="774"/>
      <c r="E13" s="774"/>
      <c r="F13" s="774"/>
      <c r="G13" s="896"/>
      <c r="H13" s="896"/>
      <c r="I13" s="896"/>
      <c r="J13" s="896"/>
      <c r="K13" s="896"/>
      <c r="L13" s="896"/>
    </row>
    <row r="14" spans="1:43" ht="24.75" customHeight="1" thickBot="1">
      <c r="A14" s="6"/>
      <c r="B14" s="7"/>
      <c r="D14" s="775"/>
      <c r="E14" s="775"/>
      <c r="F14" s="775"/>
      <c r="G14" s="775"/>
      <c r="H14" s="775"/>
      <c r="I14" s="243"/>
      <c r="J14" s="243"/>
      <c r="K14" s="243"/>
      <c r="L14" s="244"/>
      <c r="AA14" s="243"/>
      <c r="AB14" s="243"/>
      <c r="AC14" s="243"/>
      <c r="AD14" s="243"/>
      <c r="AE14" s="243"/>
      <c r="AF14" s="243"/>
      <c r="AG14" s="243"/>
      <c r="AH14" s="243"/>
      <c r="AI14" s="243"/>
      <c r="AJ14" s="244"/>
    </row>
    <row r="15" spans="1:43" ht="52.5" customHeight="1" thickTop="1">
      <c r="A15" s="758" t="s">
        <v>88</v>
      </c>
      <c r="B15" s="759" t="s">
        <v>56</v>
      </c>
      <c r="C15" s="892" t="s">
        <v>527</v>
      </c>
      <c r="D15" s="897"/>
      <c r="E15" s="892" t="s">
        <v>528</v>
      </c>
      <c r="F15" s="897"/>
      <c r="G15" s="892" t="s">
        <v>529</v>
      </c>
      <c r="H15" s="897"/>
      <c r="I15" s="892" t="s">
        <v>0</v>
      </c>
      <c r="J15" s="897"/>
      <c r="K15" s="892" t="s">
        <v>1</v>
      </c>
      <c r="L15" s="893"/>
      <c r="AA15" s="892" t="s">
        <v>530</v>
      </c>
      <c r="AB15" s="897"/>
      <c r="AC15" s="892" t="s">
        <v>531</v>
      </c>
      <c r="AD15" s="897"/>
      <c r="AE15" s="892" t="s">
        <v>532</v>
      </c>
      <c r="AF15" s="897"/>
      <c r="AG15" s="892" t="s">
        <v>533</v>
      </c>
      <c r="AH15" s="897"/>
      <c r="AI15" s="892" t="s">
        <v>534</v>
      </c>
      <c r="AJ15" s="893"/>
    </row>
    <row r="16" spans="1:43" ht="20.25" customHeight="1" thickBot="1">
      <c r="A16" s="762"/>
      <c r="B16" s="763"/>
      <c r="C16" s="764" t="s">
        <v>57</v>
      </c>
      <c r="D16" s="766" t="s">
        <v>58</v>
      </c>
      <c r="E16" s="764" t="s">
        <v>57</v>
      </c>
      <c r="F16" s="766" t="s">
        <v>58</v>
      </c>
      <c r="G16" s="764" t="s">
        <v>57</v>
      </c>
      <c r="H16" s="766" t="s">
        <v>58</v>
      </c>
      <c r="I16" s="764" t="s">
        <v>57</v>
      </c>
      <c r="J16" s="766" t="s">
        <v>58</v>
      </c>
      <c r="K16" s="764" t="s">
        <v>57</v>
      </c>
      <c r="L16" s="766" t="s">
        <v>58</v>
      </c>
      <c r="AA16" s="764" t="s">
        <v>57</v>
      </c>
      <c r="AB16" s="766" t="s">
        <v>58</v>
      </c>
      <c r="AC16" s="764" t="s">
        <v>57</v>
      </c>
      <c r="AD16" s="766" t="s">
        <v>58</v>
      </c>
      <c r="AE16" s="764" t="s">
        <v>57</v>
      </c>
      <c r="AF16" s="766" t="s">
        <v>58</v>
      </c>
      <c r="AG16" s="764" t="s">
        <v>57</v>
      </c>
      <c r="AH16" s="766" t="s">
        <v>58</v>
      </c>
      <c r="AI16" s="764" t="s">
        <v>57</v>
      </c>
      <c r="AJ16" s="766" t="s">
        <v>58</v>
      </c>
    </row>
    <row r="17" spans="1:36" ht="20.25" customHeight="1" thickTop="1" thickBot="1">
      <c r="A17" s="767" t="s">
        <v>535</v>
      </c>
      <c r="B17" s="768" t="s">
        <v>396</v>
      </c>
      <c r="C17" s="780">
        <f t="shared" ref="C17:L17" si="3">ROUND(AA17,0)</f>
        <v>0</v>
      </c>
      <c r="D17" s="781">
        <f t="shared" si="3"/>
        <v>0</v>
      </c>
      <c r="E17" s="780">
        <f t="shared" si="3"/>
        <v>0</v>
      </c>
      <c r="F17" s="781">
        <f t="shared" si="3"/>
        <v>0</v>
      </c>
      <c r="G17" s="780">
        <f t="shared" si="3"/>
        <v>0</v>
      </c>
      <c r="H17" s="781">
        <f t="shared" si="3"/>
        <v>0</v>
      </c>
      <c r="I17" s="780">
        <f t="shared" si="3"/>
        <v>0</v>
      </c>
      <c r="J17" s="781">
        <f t="shared" si="3"/>
        <v>0</v>
      </c>
      <c r="K17" s="780">
        <f t="shared" si="3"/>
        <v>0</v>
      </c>
      <c r="L17" s="781">
        <f t="shared" si="3"/>
        <v>0</v>
      </c>
      <c r="AA17" s="782"/>
      <c r="AB17" s="783"/>
      <c r="AC17" s="782"/>
      <c r="AD17" s="783"/>
      <c r="AE17" s="782"/>
      <c r="AF17" s="783"/>
      <c r="AG17" s="782"/>
      <c r="AH17" s="783"/>
      <c r="AI17" s="782"/>
      <c r="AJ17" s="783"/>
    </row>
    <row r="18" spans="1:36" ht="33" customHeight="1" thickTop="1" thickBot="1">
      <c r="A18" s="10" t="s">
        <v>59</v>
      </c>
      <c r="B18" s="9"/>
      <c r="C18" s="769">
        <f t="shared" ref="C18:L18" si="4">SUM(C17:C17)</f>
        <v>0</v>
      </c>
      <c r="D18" s="771">
        <f t="shared" si="4"/>
        <v>0</v>
      </c>
      <c r="E18" s="769">
        <f t="shared" si="4"/>
        <v>0</v>
      </c>
      <c r="F18" s="771">
        <f t="shared" si="4"/>
        <v>0</v>
      </c>
      <c r="G18" s="769">
        <f t="shared" si="4"/>
        <v>0</v>
      </c>
      <c r="H18" s="771">
        <f t="shared" si="4"/>
        <v>0</v>
      </c>
      <c r="I18" s="769">
        <f t="shared" si="4"/>
        <v>0</v>
      </c>
      <c r="J18" s="771">
        <f t="shared" si="4"/>
        <v>0</v>
      </c>
      <c r="K18" s="769">
        <f t="shared" si="4"/>
        <v>0</v>
      </c>
      <c r="L18" s="771">
        <f t="shared" si="4"/>
        <v>0</v>
      </c>
      <c r="AA18" s="776">
        <f t="shared" ref="AA18:AJ18" si="5">SUM(AA17:AA17)</f>
        <v>0</v>
      </c>
      <c r="AB18" s="777">
        <f t="shared" si="5"/>
        <v>0</v>
      </c>
      <c r="AC18" s="776">
        <f t="shared" si="5"/>
        <v>0</v>
      </c>
      <c r="AD18" s="777">
        <f t="shared" si="5"/>
        <v>0</v>
      </c>
      <c r="AE18" s="776">
        <f t="shared" si="5"/>
        <v>0</v>
      </c>
      <c r="AF18" s="777">
        <f t="shared" si="5"/>
        <v>0</v>
      </c>
      <c r="AG18" s="776">
        <f t="shared" si="5"/>
        <v>0</v>
      </c>
      <c r="AH18" s="777">
        <f t="shared" si="5"/>
        <v>0</v>
      </c>
      <c r="AI18" s="776">
        <f t="shared" si="5"/>
        <v>0</v>
      </c>
      <c r="AJ18" s="777">
        <f t="shared" si="5"/>
        <v>0</v>
      </c>
    </row>
    <row r="19" spans="1:36" ht="8.25" customHeight="1">
      <c r="A19" s="635"/>
    </row>
    <row r="20" spans="1:36" ht="12.75">
      <c r="A20" s="772" t="s">
        <v>119</v>
      </c>
    </row>
    <row r="21" spans="1:36" ht="12.75">
      <c r="A21" s="772" t="s">
        <v>120</v>
      </c>
    </row>
  </sheetData>
  <sheetProtection password="DD41" sheet="1" formatColumns="0" selectLockedCells="1"/>
  <mergeCells count="13">
    <mergeCell ref="AI15:AJ15"/>
    <mergeCell ref="A1:AH1"/>
    <mergeCell ref="A10:AC10"/>
    <mergeCell ref="G13:L13"/>
    <mergeCell ref="C15:D15"/>
    <mergeCell ref="E15:F15"/>
    <mergeCell ref="G15:H15"/>
    <mergeCell ref="I15:J15"/>
    <mergeCell ref="K15:L15"/>
    <mergeCell ref="AA15:AB15"/>
    <mergeCell ref="AC15:AD15"/>
    <mergeCell ref="AE15:AF15"/>
    <mergeCell ref="AG15:AH15"/>
  </mergeCells>
  <dataValidations count="2">
    <dataValidation type="decimal" allowBlank="1" showInputMessage="1" showErrorMessage="1" promptTitle="ATTENZIONE!" prompt="Inserire solo numeri decimali con due cifre dopo la virgola" sqref="C6:J6 AA6:AH6" xr:uid="{00000000-0002-0000-0300-000000000000}">
      <formula1>0</formula1>
      <formula2>9999999</formula2>
    </dataValidation>
    <dataValidation type="whole" allowBlank="1" showErrorMessage="1" promptTitle="ATTENZIONE!" prompt="Inserire solo numeri decimali con due cifre dopo la virgola" sqref="AA17:AJ17 C17:L17" xr:uid="{00000000-0002-0000-0300-000001000000}">
      <formula1>0</formula1>
      <formula2>9999999</formula2>
    </dataValidation>
  </dataValidations>
  <printOptions horizontalCentered="1" verticalCentered="1"/>
  <pageMargins left="0" right="0" top="0.19685039370078741" bottom="0.31496062992125984" header="0.51181102362204722" footer="0.51181102362204722"/>
  <pageSetup paperSize="9" scale="90" orientation="landscape" horizontalDpi="300" verticalDpi="4294967292"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76705" r:id="rId4" name="Drop Down 1">
              <controlPr defaultSize="0" autoLine="0" autoPict="0" altText="No">
                <anchor moveWithCells="1">
                  <from>
                    <xdr:col>29</xdr:col>
                    <xdr:colOff>180975</xdr:colOff>
                    <xdr:row>8</xdr:row>
                    <xdr:rowOff>142875</xdr:rowOff>
                  </from>
                  <to>
                    <xdr:col>30</xdr:col>
                    <xdr:colOff>247650</xdr:colOff>
                    <xdr:row>9</xdr:row>
                    <xdr:rowOff>171450</xdr:rowOff>
                  </to>
                </anchor>
              </controlPr>
            </control>
          </mc:Choice>
        </mc:AlternateContent>
      </controls>
    </mc:Choice>
  </mc:AlternateConten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
  <dimension ref="A1:L10"/>
  <sheetViews>
    <sheetView showGridLines="0" workbookViewId="0">
      <selection activeCell="A4" sqref="A4"/>
    </sheetView>
  </sheetViews>
  <sheetFormatPr defaultRowHeight="11.25"/>
  <cols>
    <col min="1" max="1" width="37.6640625" style="3" customWidth="1"/>
    <col min="2" max="2" width="8.5" style="2" customWidth="1"/>
    <col min="3" max="5" width="12.6640625" style="3" customWidth="1"/>
    <col min="6" max="6" width="1.6640625" style="3" customWidth="1"/>
    <col min="7" max="9" width="12.6640625" style="474" customWidth="1"/>
    <col min="10" max="10" width="1.6640625" customWidth="1"/>
    <col min="11" max="12" width="14.6640625" customWidth="1"/>
  </cols>
  <sheetData>
    <row r="1" spans="1:12" ht="51" customHeight="1">
      <c r="A1" s="894" t="str">
        <f>'t1'!A1</f>
        <v>Amministrazioni incluse nell'elenco ISTAT art. 1 c.3 legge 196/2009 (lista S13) - anno 2023</v>
      </c>
      <c r="B1" s="894"/>
      <c r="C1" s="894"/>
      <c r="D1" s="894"/>
      <c r="E1" s="894"/>
      <c r="F1" s="894"/>
      <c r="G1" s="894"/>
      <c r="H1" s="894"/>
      <c r="I1" s="894"/>
      <c r="J1" s="894"/>
      <c r="K1" s="894"/>
      <c r="L1" s="894"/>
    </row>
    <row r="2" spans="1:12" ht="42" customHeight="1" thickBot="1">
      <c r="A2" s="1035" t="s">
        <v>536</v>
      </c>
      <c r="B2" s="1035"/>
      <c r="C2" s="1035"/>
      <c r="D2" s="1035"/>
      <c r="E2" s="1035"/>
      <c r="F2" s="1035"/>
      <c r="G2" s="1035"/>
      <c r="H2" s="1035"/>
      <c r="I2" s="1035"/>
      <c r="J2" s="1035"/>
      <c r="K2" s="1035"/>
      <c r="L2" s="1035"/>
    </row>
    <row r="3" spans="1:12" ht="30.6" customHeight="1">
      <c r="A3" s="786" t="s">
        <v>88</v>
      </c>
      <c r="B3" s="787" t="s">
        <v>56</v>
      </c>
      <c r="C3" s="1036" t="s">
        <v>537</v>
      </c>
      <c r="D3" s="1037"/>
      <c r="E3" s="1038"/>
      <c r="F3" s="788"/>
      <c r="G3" s="1039" t="s">
        <v>538</v>
      </c>
      <c r="H3" s="1040"/>
      <c r="I3" s="1041"/>
      <c r="K3" s="1039" t="s">
        <v>539</v>
      </c>
      <c r="L3" s="1041"/>
    </row>
    <row r="4" spans="1:12" ht="12.75">
      <c r="A4" s="789"/>
      <c r="B4" s="790"/>
      <c r="C4" s="791" t="s">
        <v>57</v>
      </c>
      <c r="D4" s="792" t="s">
        <v>58</v>
      </c>
      <c r="E4" s="793" t="s">
        <v>540</v>
      </c>
      <c r="F4" s="794"/>
      <c r="G4" s="791" t="s">
        <v>57</v>
      </c>
      <c r="H4" s="792" t="s">
        <v>58</v>
      </c>
      <c r="I4" s="793" t="s">
        <v>540</v>
      </c>
      <c r="J4" s="179"/>
      <c r="K4" s="791" t="s">
        <v>57</v>
      </c>
      <c r="L4" s="793" t="s">
        <v>58</v>
      </c>
    </row>
    <row r="5" spans="1:12" ht="12.75">
      <c r="A5" s="795"/>
      <c r="B5" s="796"/>
      <c r="C5" s="797" t="s">
        <v>180</v>
      </c>
      <c r="D5" s="534" t="s">
        <v>181</v>
      </c>
      <c r="E5" s="798" t="s">
        <v>182</v>
      </c>
      <c r="F5" s="799"/>
      <c r="G5" s="800" t="s">
        <v>183</v>
      </c>
      <c r="H5" s="534" t="s">
        <v>184</v>
      </c>
      <c r="I5" s="798" t="s">
        <v>204</v>
      </c>
      <c r="K5" s="800" t="s">
        <v>541</v>
      </c>
      <c r="L5" s="798" t="s">
        <v>542</v>
      </c>
    </row>
    <row r="6" spans="1:12" ht="13.5" thickBot="1">
      <c r="A6" s="801" t="str">
        <f>'t2'!A6</f>
        <v>Personale non dirigente</v>
      </c>
      <c r="B6" s="802" t="str">
        <f>'t2'!B6</f>
        <v>LI</v>
      </c>
      <c r="C6" s="815">
        <f>'t2'!C6</f>
        <v>0</v>
      </c>
      <c r="D6" s="816">
        <f>'t2'!D6</f>
        <v>0</v>
      </c>
      <c r="E6" s="817">
        <f>SUM(C6:D6)</f>
        <v>0</v>
      </c>
      <c r="F6" s="799"/>
      <c r="G6" s="803">
        <f>t2A!D12+t2A!F12+t2A!H12+t2A!J12+t2A!L12+t2A!N12+t2A!P12+t2A!R12</f>
        <v>0</v>
      </c>
      <c r="H6" s="804">
        <f>t2A!E12+t2A!G12+t2A!I12+t2A!K12+t2A!M12+t2A!O12+t2A!Q12+t2A!S12</f>
        <v>0</v>
      </c>
      <c r="I6" s="805">
        <f>SUM(G6:H6)</f>
        <v>0</v>
      </c>
      <c r="K6" s="806" t="str">
        <f>IF('t2'!$AK$3=2,IF(C6&gt;0,IF(G6&gt;0,"OK","Manca T2A"),IF(C6=0,IF(G6=0,"OK","Manca T2"),"errore")),"OK")</f>
        <v>OK</v>
      </c>
      <c r="L6" s="820" t="str">
        <f>IF('t2'!$AK$3=2,IF(D6&gt;0,IF(H6&gt;0,"OK","Manca T2A"),IF(D6=0,IF(H6=0,"OK","Manca T2"),"errore")),"OK")</f>
        <v>OK</v>
      </c>
    </row>
    <row r="7" spans="1:12" ht="13.5" thickBot="1">
      <c r="A7" s="807" t="s">
        <v>59</v>
      </c>
      <c r="B7" s="808"/>
      <c r="C7" s="818">
        <f>SUM(C6:C6)</f>
        <v>0</v>
      </c>
      <c r="D7" s="819">
        <f>SUM(D6:D6)</f>
        <v>0</v>
      </c>
      <c r="E7" s="819">
        <f>SUM(C7:D7)</f>
        <v>0</v>
      </c>
      <c r="G7" s="809">
        <f>SUM(G6:G6)</f>
        <v>0</v>
      </c>
      <c r="H7" s="810">
        <f>SUM(H6:H6)</f>
        <v>0</v>
      </c>
      <c r="I7" s="811">
        <f>SUM(G7:H7)</f>
        <v>0</v>
      </c>
      <c r="K7" s="812" t="str">
        <f>IF(COUNTIF(K6:K6,"OK")=1,"OK","Errore")</f>
        <v>OK</v>
      </c>
      <c r="L7" s="813" t="str">
        <f>IF(COUNTIF(L6:L6,"OK")=1,"OK","Errore")</f>
        <v>OK</v>
      </c>
    </row>
    <row r="8" spans="1:12">
      <c r="A8" s="635"/>
    </row>
    <row r="10" spans="1:12" s="814" customFormat="1" ht="12.75">
      <c r="A10" s="1034" t="str">
        <f>IF('t2'!AK3=1,"La squadratura non viene calcolata perché sulla Tabella 2 è stato segnalato che il personale è cessato al 31/12","")</f>
        <v/>
      </c>
      <c r="B10" s="1034"/>
      <c r="C10" s="1034"/>
      <c r="D10" s="1034"/>
      <c r="E10" s="1034"/>
      <c r="F10" s="1034"/>
      <c r="G10" s="1034"/>
      <c r="H10" s="1034"/>
      <c r="I10" s="1034"/>
      <c r="J10" s="1034"/>
      <c r="K10" s="1034"/>
      <c r="L10" s="1034"/>
    </row>
  </sheetData>
  <sheetProtection password="DD41" sheet="1" formatColumns="0" selectLockedCells="1" selectUnlockedCells="1"/>
  <mergeCells count="6">
    <mergeCell ref="A10:L10"/>
    <mergeCell ref="A1:L1"/>
    <mergeCell ref="A2:L2"/>
    <mergeCell ref="C3:E3"/>
    <mergeCell ref="G3:I3"/>
    <mergeCell ref="K3:L3"/>
  </mergeCells>
  <dataValidations count="1">
    <dataValidation type="whole" allowBlank="1" showInputMessage="1" showErrorMessage="1" errorTitle="ERRORE" error="INSERIRE SOLO NUMERI INTERI COMPRESI TRA 0 E 9999999" sqref="G6:H7" xr:uid="{00000000-0002-0000-1E00-000000000000}">
      <formula1>0</formula1>
      <formula2>9999999</formula2>
    </dataValidation>
  </dataValidations>
  <pageMargins left="0.7" right="0.7" top="0.75" bottom="0.75"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40"/>
  <dimension ref="A1:M21"/>
  <sheetViews>
    <sheetView showGridLines="0" workbookViewId="0">
      <selection activeCell="I27" sqref="I27"/>
    </sheetView>
  </sheetViews>
  <sheetFormatPr defaultColWidth="9.33203125" defaultRowHeight="11.25"/>
  <cols>
    <col min="1" max="1" width="81.6640625" style="3" customWidth="1"/>
    <col min="2" max="3" width="21.5" style="3" customWidth="1"/>
    <col min="4" max="4" width="26" style="3" customWidth="1"/>
    <col min="5" max="5" width="25.1640625" style="3" customWidth="1"/>
    <col min="6" max="16384" width="9.33203125" style="3"/>
  </cols>
  <sheetData>
    <row r="1" spans="1:13" ht="42.6" customHeight="1">
      <c r="A1" s="1042" t="str">
        <f>'t1'!A1</f>
        <v>Amministrazioni incluse nell'elenco ISTAT art. 1 c.3 legge 196/2009 (lista S13) - anno 2023</v>
      </c>
      <c r="B1" s="1042"/>
      <c r="C1" s="1042"/>
      <c r="D1" s="1042"/>
      <c r="E1" s="584"/>
      <c r="F1" s="291"/>
      <c r="G1" s="291"/>
      <c r="H1" s="291"/>
      <c r="I1" s="291"/>
      <c r="M1"/>
    </row>
    <row r="2" spans="1:13" ht="16.5" thickBot="1">
      <c r="A2" s="1046" t="s">
        <v>519</v>
      </c>
      <c r="B2" s="1046"/>
      <c r="C2" s="1046"/>
      <c r="D2" s="1046"/>
      <c r="E2" s="292"/>
      <c r="F2" s="292"/>
      <c r="G2" s="292"/>
      <c r="H2" s="292"/>
      <c r="I2" s="292"/>
      <c r="M2"/>
    </row>
    <row r="3" spans="1:13" ht="33" customHeight="1" thickBot="1">
      <c r="A3" s="1043" t="s">
        <v>477</v>
      </c>
      <c r="B3" s="1044"/>
      <c r="C3" s="1044"/>
      <c r="D3" s="1045"/>
      <c r="E3" s="606"/>
    </row>
    <row r="4" spans="1:13" s="177" customFormat="1" ht="21.75" thickBot="1">
      <c r="A4" s="538" t="s">
        <v>407</v>
      </c>
      <c r="B4" s="539" t="s">
        <v>408</v>
      </c>
      <c r="C4" s="539" t="s">
        <v>409</v>
      </c>
      <c r="D4" s="540" t="s">
        <v>410</v>
      </c>
    </row>
    <row r="5" spans="1:13" ht="39" customHeight="1">
      <c r="A5" s="607" t="str">
        <f>SI_1!B85</f>
        <v>Non compilare</v>
      </c>
      <c r="B5" s="608">
        <f>SI_1!G85</f>
        <v>0</v>
      </c>
      <c r="C5" s="608">
        <f>'t1'!K8+'t1'!L8</f>
        <v>0</v>
      </c>
      <c r="D5" s="697" t="str">
        <f>IF(B5&lt;=C5,"OK","Dati incoerenti: controllare i valori")</f>
        <v>OK</v>
      </c>
    </row>
    <row r="6" spans="1:13" ht="39" customHeight="1">
      <c r="A6" s="609" t="str">
        <f>SI_1!B106</f>
        <v>Indicare il numero delle unita rilevate in tabella 1 tra i "presenti al 31.12" che risultavano titolari di permessi per legge n. 104/92.</v>
      </c>
      <c r="B6" s="610">
        <f>SI_1!G106</f>
        <v>0</v>
      </c>
      <c r="C6" s="610">
        <f>'t1'!K8+'t1'!L8</f>
        <v>0</v>
      </c>
      <c r="D6" s="698" t="str">
        <f>IF(B6&lt;=C6,"OK","Dati incoerenti: controllare i valori")</f>
        <v>OK</v>
      </c>
    </row>
    <row r="7" spans="1:13" ht="39" customHeight="1" thickBot="1">
      <c r="A7" s="611" t="str">
        <f>SI_1!B109</f>
        <v>Indicare il numero delle unita rilevate in tabella 1 tra i "presenti al 31.12" che risultavano titolari di permessi ai sensi dell'art. 42, c.5 D.lgs.151/2001.</v>
      </c>
      <c r="B7" s="612">
        <f>SI_1!G109</f>
        <v>0</v>
      </c>
      <c r="C7" s="612">
        <f>'t1'!K8+'t1'!L8</f>
        <v>0</v>
      </c>
      <c r="D7" s="699" t="str">
        <f>IF(B7&lt;=C7,"OK","Dati incoerenti: controllare i valori")</f>
        <v>OK</v>
      </c>
    </row>
    <row r="10" spans="1:13" ht="16.5" thickBot="1">
      <c r="A10" s="702" t="s">
        <v>478</v>
      </c>
      <c r="B10" s="701"/>
      <c r="C10" s="701"/>
      <c r="D10" s="701"/>
      <c r="E10" s="292"/>
      <c r="F10" s="292"/>
      <c r="G10" s="292"/>
      <c r="H10" s="292"/>
      <c r="I10" s="292"/>
      <c r="M10"/>
    </row>
    <row r="11" spans="1:13" ht="32.65" customHeight="1" thickBot="1">
      <c r="A11" s="1043" t="s">
        <v>479</v>
      </c>
      <c r="B11" s="1044"/>
      <c r="C11" s="1044"/>
      <c r="D11" s="1045"/>
      <c r="E11" s="606"/>
    </row>
    <row r="12" spans="1:13" s="177" customFormat="1" ht="21.75" thickBot="1">
      <c r="A12" s="613" t="s">
        <v>407</v>
      </c>
      <c r="B12" s="614" t="s">
        <v>408</v>
      </c>
      <c r="C12" s="614" t="s">
        <v>411</v>
      </c>
      <c r="D12" s="615" t="s">
        <v>412</v>
      </c>
    </row>
    <row r="13" spans="1:13" ht="39" customHeight="1">
      <c r="A13" s="616" t="str">
        <f>SI_1!B106</f>
        <v>Indicare il numero delle unita rilevate in tabella 1 tra i "presenti al 31.12" che risultavano titolari di permessi per legge n. 104/92.</v>
      </c>
      <c r="B13" s="617">
        <f>SI_1!G106</f>
        <v>0</v>
      </c>
      <c r="C13" s="618">
        <f>'t11'!I10+'t11'!J10</f>
        <v>0</v>
      </c>
      <c r="D13" s="700" t="str">
        <f>(IF(AND(C13=0,B13&gt;0),"Mancano le assenze per questa causale",IF(AND(C13&gt;0,B13=0),"Dichiarare Unita nella domanda della Scheda Informativa 1","OK")))</f>
        <v>OK</v>
      </c>
    </row>
    <row r="14" spans="1:13" ht="39" customHeight="1" thickBot="1">
      <c r="A14" s="619" t="str">
        <f>SI_1!B109</f>
        <v>Indicare il numero delle unita rilevate in tabella 1 tra i "presenti al 31.12" che risultavano titolari di permessi ai sensi dell'art. 42, c.5 D.lgs.151/2001.</v>
      </c>
      <c r="B14" s="612">
        <f>SI_1!G109</f>
        <v>0</v>
      </c>
      <c r="C14" s="620">
        <f>'t11'!G10+'t11'!H10</f>
        <v>0</v>
      </c>
      <c r="D14" s="699" t="str">
        <f>(IF(AND(C14=0,B14&gt;0),"Mancano le assenze per questa causale",IF(AND(C14&gt;0,B14=0),"Dichiarare Unita nella domanda della Scheda Informativa 1","OK")))</f>
        <v>OK</v>
      </c>
    </row>
    <row r="16" spans="1:13" hidden="1"/>
    <row r="17" spans="1:13" ht="13.15" hidden="1" customHeight="1" thickBot="1">
      <c r="A17" s="703" t="s">
        <v>480</v>
      </c>
      <c r="B17" s="701"/>
      <c r="C17" s="701"/>
      <c r="D17" s="701"/>
      <c r="E17" s="292"/>
      <c r="F17" s="292"/>
      <c r="G17" s="292"/>
      <c r="H17" s="292"/>
      <c r="I17" s="292"/>
      <c r="M17"/>
    </row>
    <row r="18" spans="1:13" ht="31.15" hidden="1" customHeight="1" thickBot="1">
      <c r="A18" s="1043" t="s">
        <v>481</v>
      </c>
      <c r="B18" s="1044"/>
      <c r="C18" s="1044"/>
      <c r="D18" s="1045"/>
      <c r="E18" s="606"/>
    </row>
    <row r="19" spans="1:13" ht="21.75" hidden="1" thickBot="1">
      <c r="A19" s="613" t="s">
        <v>407</v>
      </c>
      <c r="B19" s="614" t="s">
        <v>467</v>
      </c>
      <c r="C19" s="614" t="s">
        <v>411</v>
      </c>
      <c r="D19" s="615" t="s">
        <v>412</v>
      </c>
    </row>
    <row r="20" spans="1:13" ht="37.9" hidden="1" customHeight="1" thickBot="1">
      <c r="A20" s="619" t="s">
        <v>468</v>
      </c>
      <c r="B20" s="617">
        <f>SI_1!G82</f>
        <v>0</v>
      </c>
      <c r="C20" s="618">
        <f>'t11'!E10+'t11'!F10</f>
        <v>0</v>
      </c>
      <c r="D20" s="700" t="str">
        <f>(IF(AND(C20=0,B20&gt;0),"Mancano le assenze per questa causale",IF(AND(C20&gt;0,B20=0),"Dichiarare Somme nella domanda della Scheda Informativa 1","OK")))</f>
        <v>OK</v>
      </c>
    </row>
    <row r="21" spans="1:13" hidden="1"/>
  </sheetData>
  <sheetProtection password="DD41" sheet="1" formatColumns="0" selectLockedCells="1" selectUnlockedCells="1"/>
  <mergeCells count="5">
    <mergeCell ref="A1:D1"/>
    <mergeCell ref="A3:D3"/>
    <mergeCell ref="A11:D11"/>
    <mergeCell ref="A18:D18"/>
    <mergeCell ref="A2:D2"/>
  </mergeCells>
  <conditionalFormatting sqref="D5:D7 D13:D14 D20">
    <cfRule type="notContainsText" dxfId="1" priority="1" stopIfTrue="1" operator="notContains" text="ok">
      <formula>ISERROR(SEARCH("ok",D5))</formula>
    </cfRule>
  </conditionalFormatting>
  <printOptions horizontalCentered="1" verticalCentered="1"/>
  <pageMargins left="0" right="0" top="0.19685039370078741" bottom="0.31496062992125984" header="0.51181102362204722" footer="0.51181102362204722"/>
  <pageSetup paperSize="9" scale="90" orientation="landscape" horizontalDpi="300" verticalDpi="4294967292"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44">
    <pageSetUpPr fitToPage="1"/>
  </sheetPr>
  <dimension ref="A1:K7"/>
  <sheetViews>
    <sheetView showGridLines="0" workbookViewId="0">
      <pane xSplit="2" ySplit="5" topLeftCell="C6" activePane="bottomRight" state="frozen"/>
      <selection activeCell="A2" sqref="A2"/>
      <selection pane="topRight" activeCell="A2" sqref="A2"/>
      <selection pane="bottomLeft" activeCell="A2" sqref="A2"/>
      <selection pane="bottomRight" activeCell="A8" sqref="A8"/>
    </sheetView>
  </sheetViews>
  <sheetFormatPr defaultRowHeight="11.25"/>
  <cols>
    <col min="1" max="1" width="41.5" style="3" customWidth="1"/>
    <col min="2" max="2" width="10" style="2" customWidth="1"/>
    <col min="3" max="3" width="11.6640625" style="2" customWidth="1"/>
    <col min="4" max="5" width="14" style="2" customWidth="1"/>
    <col min="6" max="6" width="11.6640625" style="2" customWidth="1"/>
    <col min="7" max="7" width="13.6640625" style="2" customWidth="1"/>
    <col min="8" max="8" width="16.6640625" style="2" hidden="1" customWidth="1"/>
    <col min="9" max="9" width="63.33203125" customWidth="1"/>
  </cols>
  <sheetData>
    <row r="1" spans="1:11" s="3" customFormat="1" ht="43.5" customHeight="1">
      <c r="A1" s="912" t="str">
        <f>'t1'!A1</f>
        <v>Amministrazioni incluse nell'elenco ISTAT art. 1 c.3 legge 196/2009 (lista S13) - anno 2023</v>
      </c>
      <c r="B1" s="912"/>
      <c r="C1" s="912"/>
      <c r="D1" s="912"/>
      <c r="E1" s="912"/>
      <c r="F1" s="912"/>
      <c r="G1" s="912"/>
      <c r="H1" s="912"/>
      <c r="I1" s="912"/>
      <c r="K1"/>
    </row>
    <row r="2" spans="1:11" s="3" customFormat="1" ht="12.75" customHeight="1">
      <c r="D2" s="983"/>
      <c r="E2" s="983"/>
      <c r="F2" s="983"/>
      <c r="G2" s="983"/>
      <c r="H2" s="490"/>
      <c r="K2"/>
    </row>
    <row r="3" spans="1:11" s="3" customFormat="1" ht="43.9" customHeight="1">
      <c r="A3" s="1032" t="s">
        <v>483</v>
      </c>
      <c r="B3" s="1032"/>
      <c r="C3" s="1032"/>
      <c r="D3" s="1032"/>
      <c r="E3" s="1032"/>
      <c r="F3" s="1032"/>
      <c r="G3" s="1032"/>
      <c r="H3" s="1032"/>
      <c r="I3" s="1032"/>
    </row>
    <row r="4" spans="1:11" ht="67.5">
      <c r="A4" s="491" t="s">
        <v>216</v>
      </c>
      <c r="B4" s="492" t="s">
        <v>178</v>
      </c>
      <c r="C4" s="492" t="s">
        <v>36</v>
      </c>
      <c r="D4" s="492" t="s">
        <v>484</v>
      </c>
      <c r="E4" s="492" t="s">
        <v>485</v>
      </c>
      <c r="F4" s="492" t="s">
        <v>38</v>
      </c>
      <c r="G4" s="492" t="s">
        <v>486</v>
      </c>
      <c r="H4" s="492" t="s">
        <v>389</v>
      </c>
      <c r="I4" s="492" t="s">
        <v>374</v>
      </c>
    </row>
    <row r="5" spans="1:11" s="179" customFormat="1" ht="56.25" hidden="1">
      <c r="A5" s="162"/>
      <c r="B5" s="174"/>
      <c r="C5" s="174" t="s">
        <v>180</v>
      </c>
      <c r="D5" s="174"/>
      <c r="E5" s="174"/>
      <c r="F5" s="174" t="s">
        <v>182</v>
      </c>
      <c r="G5" s="174"/>
      <c r="H5" s="534" t="s">
        <v>404</v>
      </c>
      <c r="I5" s="536"/>
    </row>
    <row r="6" spans="1:11" ht="12.75">
      <c r="A6" s="121" t="str">
        <f>'t1'!A6</f>
        <v>PERSONALE DIRIGENTE</v>
      </c>
      <c r="B6" s="95" t="str">
        <f>'t1'!B6</f>
        <v>0D00NF</v>
      </c>
      <c r="C6" s="704">
        <f>'t11'!W8+'t11'!X8</f>
        <v>0</v>
      </c>
      <c r="D6" s="704">
        <f>(C6-'t11'!Q8-'t11'!R8-'t11'!S8-'t11'!T8-'t11'!U8-'t11'!V8)</f>
        <v>0</v>
      </c>
      <c r="E6" s="710">
        <f>'t12'!C6/12</f>
        <v>0</v>
      </c>
      <c r="F6" s="704">
        <f>'t3'!K6+'t3'!L6+'t3'!M6+'t3'!N6+'t3'!O6+'t3'!P6</f>
        <v>0</v>
      </c>
      <c r="G6" s="335" t="str">
        <f>IF(H6="OK","OK","ERRORE")</f>
        <v>OK</v>
      </c>
      <c r="H6" s="335" t="str">
        <f>IF(((E6+F6)*273)&lt;(D6),"KO","OK")</f>
        <v>OK</v>
      </c>
      <c r="I6" s="537" t="str">
        <f>IF(H6="KO",($H$5&amp;(('t12'!C6/12*273)+(('t3'!K6+'t3'!L6+'t3'!M6+'t3'!N6+'t3'!O6+'t3'!P6)*273))&amp;")"),"")</f>
        <v/>
      </c>
    </row>
    <row r="7" spans="1:11" ht="12.75">
      <c r="A7" s="121" t="str">
        <f>'t1'!A7</f>
        <v>PERSONALE NON DIRIGENTE</v>
      </c>
      <c r="B7" s="95" t="str">
        <f>'t1'!B7</f>
        <v>0000ND</v>
      </c>
      <c r="C7" s="704">
        <f>'t11'!W9+'t11'!X9</f>
        <v>0</v>
      </c>
      <c r="D7" s="704">
        <f>(C7-'t11'!Q9-'t11'!R9-'t11'!S9-'t11'!T9-'t11'!U9-'t11'!V9)</f>
        <v>0</v>
      </c>
      <c r="E7" s="710">
        <f>'t12'!C7/12</f>
        <v>0</v>
      </c>
      <c r="F7" s="704">
        <f>'t3'!K7+'t3'!L7+'t3'!M7+'t3'!N7+'t3'!O7+'t3'!P7</f>
        <v>0</v>
      </c>
      <c r="G7" s="335" t="str">
        <f>IF(H7="OK","OK","ERRORE")</f>
        <v>OK</v>
      </c>
      <c r="H7" s="335" t="str">
        <f>IF(((E7+F7)*273)&lt;(D7),"KO","OK")</f>
        <v>OK</v>
      </c>
      <c r="I7" s="537" t="str">
        <f>IF(H7="KO",($H$5&amp;(('t12'!C7/12*273)+(('t3'!K7+'t3'!L7+'t3'!M7+'t3'!N7+'t3'!O7+'t3'!P7)*273))&amp;")"),"")</f>
        <v/>
      </c>
    </row>
  </sheetData>
  <sheetProtection password="DD41" sheet="1" formatColumns="0" selectLockedCells="1" selectUnlockedCells="1"/>
  <mergeCells count="3">
    <mergeCell ref="A1:I1"/>
    <mergeCell ref="D2:G2"/>
    <mergeCell ref="A3:I3"/>
  </mergeCells>
  <conditionalFormatting sqref="G6:G7">
    <cfRule type="notContainsText" dxfId="0" priority="1" stopIfTrue="1" operator="notContains" text="OK">
      <formula>ISERROR(SEARCH("OK",G6))</formula>
    </cfRule>
  </conditionalFormatting>
  <printOptions horizontalCentered="1"/>
  <pageMargins left="0.2" right="0.2" top="0.19685039370078741" bottom="0.15748031496062992" header="0.15748031496062992" footer="0.15748031496062992"/>
  <pageSetup paperSize="9" scale="8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34"/>
  <dimension ref="A1:T27"/>
  <sheetViews>
    <sheetView workbookViewId="0">
      <selection activeCell="D12" sqref="D12"/>
    </sheetView>
  </sheetViews>
  <sheetFormatPr defaultColWidth="9.33203125" defaultRowHeight="11.25"/>
  <cols>
    <col min="1" max="1" width="6.1640625" style="718" bestFit="1" customWidth="1"/>
    <col min="2" max="2" width="13" style="474" customWidth="1"/>
    <col min="3" max="3" width="34.5" style="474" customWidth="1"/>
    <col min="4" max="11" width="12.5" style="474" customWidth="1"/>
    <col min="12" max="19" width="7.6640625" style="474" hidden="1" customWidth="1"/>
    <col min="20" max="20" width="0" style="474" hidden="1" customWidth="1"/>
    <col min="21" max="21" width="8" style="474" customWidth="1"/>
    <col min="22" max="22" width="10.5" style="474" customWidth="1"/>
    <col min="23" max="16384" width="9.33203125" style="474"/>
  </cols>
  <sheetData>
    <row r="1" spans="1:20" ht="41.65" customHeight="1">
      <c r="A1" s="718" t="str">
        <f>SI_1!A2</f>
        <v>LS13</v>
      </c>
      <c r="B1" s="903" t="str">
        <f>'t1'!A1</f>
        <v>Amministrazioni incluse nell'elenco ISTAT art. 1 c.3 legge 196/2009 (lista S13) - anno 2023</v>
      </c>
      <c r="C1" s="903"/>
      <c r="D1" s="903"/>
      <c r="E1" s="903"/>
      <c r="F1" s="903"/>
      <c r="G1" s="903"/>
      <c r="H1" s="903"/>
      <c r="I1" s="903"/>
      <c r="J1" s="903"/>
      <c r="K1" s="903"/>
      <c r="L1" s="903"/>
      <c r="M1" s="903"/>
      <c r="N1" s="903"/>
      <c r="O1" s="903"/>
      <c r="P1" s="903"/>
      <c r="Q1" s="903"/>
      <c r="R1" s="903"/>
      <c r="S1" s="903"/>
    </row>
    <row r="3" spans="1:20" ht="23.25" customHeight="1">
      <c r="D3" s="719"/>
      <c r="E3" s="719"/>
      <c r="F3" s="719"/>
      <c r="G3" s="719"/>
      <c r="H3" s="719"/>
      <c r="I3" s="719"/>
      <c r="J3" s="720"/>
      <c r="K3" s="720"/>
      <c r="M3" s="721"/>
      <c r="N3" s="721"/>
      <c r="O3" s="721"/>
      <c r="P3" s="721"/>
      <c r="Q3" s="721"/>
      <c r="R3" s="721"/>
    </row>
    <row r="4" spans="1:20" ht="12">
      <c r="D4" s="722"/>
    </row>
    <row r="6" spans="1:20" ht="15" hidden="1" customHeight="1" thickTop="1">
      <c r="B6" s="898"/>
      <c r="C6" s="904"/>
      <c r="D6" s="905"/>
      <c r="E6" s="906"/>
      <c r="F6" s="906"/>
      <c r="G6" s="906"/>
      <c r="H6" s="906"/>
      <c r="I6" s="906"/>
      <c r="J6" s="906"/>
      <c r="K6" s="907"/>
      <c r="L6" s="905"/>
      <c r="M6" s="906"/>
      <c r="N6" s="906"/>
      <c r="O6" s="906"/>
      <c r="P6" s="906"/>
      <c r="Q6" s="906"/>
      <c r="R6" s="906"/>
      <c r="S6" s="907"/>
    </row>
    <row r="7" spans="1:20" ht="13.5" hidden="1" customHeight="1">
      <c r="B7" s="898"/>
      <c r="C7" s="904"/>
      <c r="D7" s="908"/>
      <c r="E7" s="898"/>
      <c r="F7" s="898"/>
      <c r="G7" s="898"/>
      <c r="H7" s="898"/>
      <c r="I7" s="898"/>
      <c r="J7" s="898"/>
      <c r="K7" s="909"/>
      <c r="L7" s="908"/>
      <c r="M7" s="898"/>
      <c r="N7" s="898"/>
      <c r="O7" s="898"/>
      <c r="P7" s="898"/>
      <c r="Q7" s="898"/>
      <c r="R7" s="898"/>
      <c r="S7" s="909"/>
    </row>
    <row r="8" spans="1:20" ht="60" customHeight="1">
      <c r="B8" s="898" t="s">
        <v>497</v>
      </c>
      <c r="C8" s="904"/>
      <c r="D8" s="910" t="s">
        <v>498</v>
      </c>
      <c r="E8" s="899"/>
      <c r="F8" s="899" t="s">
        <v>499</v>
      </c>
      <c r="G8" s="899"/>
      <c r="H8" s="899" t="s">
        <v>500</v>
      </c>
      <c r="I8" s="899"/>
      <c r="J8" s="899" t="s">
        <v>501</v>
      </c>
      <c r="K8" s="900"/>
      <c r="L8" s="911"/>
      <c r="M8" s="899"/>
      <c r="N8" s="899"/>
      <c r="O8" s="899"/>
      <c r="P8" s="899"/>
      <c r="Q8" s="899"/>
      <c r="R8" s="899"/>
      <c r="S8" s="900"/>
    </row>
    <row r="9" spans="1:20" ht="12">
      <c r="B9" s="899" t="s">
        <v>502</v>
      </c>
      <c r="C9" s="901"/>
      <c r="D9" s="723" t="s">
        <v>74</v>
      </c>
      <c r="E9" s="725" t="s">
        <v>75</v>
      </c>
      <c r="F9" s="724" t="s">
        <v>74</v>
      </c>
      <c r="G9" s="725" t="s">
        <v>75</v>
      </c>
      <c r="H9" s="724" t="s">
        <v>74</v>
      </c>
      <c r="I9" s="725" t="s">
        <v>75</v>
      </c>
      <c r="J9" s="724" t="s">
        <v>74</v>
      </c>
      <c r="K9" s="726" t="s">
        <v>75</v>
      </c>
      <c r="L9" s="723"/>
      <c r="M9" s="725"/>
      <c r="N9" s="724"/>
      <c r="O9" s="725"/>
      <c r="P9" s="724"/>
      <c r="Q9" s="725"/>
      <c r="R9" s="724"/>
      <c r="S9" s="726"/>
    </row>
    <row r="10" spans="1:20" ht="30.75" hidden="1" customHeight="1">
      <c r="A10" s="718" t="s">
        <v>555</v>
      </c>
      <c r="B10" s="899" t="s">
        <v>549</v>
      </c>
      <c r="C10" s="901"/>
      <c r="D10" s="727"/>
      <c r="E10" s="728"/>
      <c r="F10" s="728"/>
      <c r="G10" s="728"/>
      <c r="H10" s="729"/>
      <c r="I10" s="729"/>
      <c r="J10" s="729"/>
      <c r="K10" s="730"/>
      <c r="L10" s="731"/>
      <c r="M10" s="729"/>
      <c r="N10" s="729"/>
      <c r="O10" s="729"/>
      <c r="P10" s="729"/>
      <c r="Q10" s="729"/>
      <c r="R10" s="729"/>
      <c r="S10" s="730"/>
    </row>
    <row r="11" spans="1:20" ht="8.1" customHeight="1">
      <c r="B11" s="902"/>
      <c r="C11" s="902"/>
      <c r="D11" s="902"/>
      <c r="E11" s="902"/>
      <c r="F11" s="902"/>
      <c r="G11" s="902"/>
      <c r="H11" s="902"/>
      <c r="I11" s="902"/>
      <c r="J11" s="902"/>
      <c r="K11" s="902"/>
      <c r="L11" s="902"/>
      <c r="M11" s="902"/>
      <c r="N11" s="902"/>
      <c r="O11" s="902"/>
      <c r="P11" s="902"/>
      <c r="Q11" s="902"/>
      <c r="R11" s="902"/>
      <c r="S11" s="902"/>
    </row>
    <row r="12" spans="1:20" ht="15" customHeight="1">
      <c r="A12" s="718" t="str">
        <f>'t2'!B6</f>
        <v>LI</v>
      </c>
      <c r="B12" s="898" t="s">
        <v>503</v>
      </c>
      <c r="C12" s="732" t="str">
        <f>'t2'!A6</f>
        <v>Personale non dirigente</v>
      </c>
      <c r="D12" s="733"/>
      <c r="E12" s="729"/>
      <c r="F12" s="729"/>
      <c r="G12" s="729"/>
      <c r="H12" s="729"/>
      <c r="I12" s="729"/>
      <c r="J12" s="729"/>
      <c r="K12" s="730"/>
      <c r="L12" s="731"/>
      <c r="M12" s="729"/>
      <c r="N12" s="729"/>
      <c r="O12" s="729"/>
      <c r="P12" s="729"/>
      <c r="Q12" s="729"/>
      <c r="R12" s="729"/>
      <c r="S12" s="730"/>
    </row>
    <row r="13" spans="1:20" ht="13.5">
      <c r="B13" s="898"/>
      <c r="C13" s="734" t="s">
        <v>504</v>
      </c>
      <c r="D13" s="735">
        <f t="shared" ref="D13:K13" si="0">SUM(D12:D12)</f>
        <v>0</v>
      </c>
      <c r="E13" s="736">
        <f t="shared" si="0"/>
        <v>0</v>
      </c>
      <c r="F13" s="736">
        <f t="shared" si="0"/>
        <v>0</v>
      </c>
      <c r="G13" s="736">
        <f t="shared" si="0"/>
        <v>0</v>
      </c>
      <c r="H13" s="736">
        <f t="shared" si="0"/>
        <v>0</v>
      </c>
      <c r="I13" s="736">
        <f t="shared" si="0"/>
        <v>0</v>
      </c>
      <c r="J13" s="736">
        <f t="shared" si="0"/>
        <v>0</v>
      </c>
      <c r="K13" s="737">
        <f t="shared" si="0"/>
        <v>0</v>
      </c>
      <c r="L13" s="738"/>
      <c r="M13" s="739"/>
      <c r="N13" s="739"/>
      <c r="O13" s="739"/>
      <c r="P13" s="739"/>
      <c r="Q13" s="739"/>
      <c r="R13" s="739"/>
      <c r="S13" s="740"/>
      <c r="T13" s="741">
        <f>SUM(D13:S13,D10:S10)</f>
        <v>0</v>
      </c>
    </row>
    <row r="21" spans="6:7" ht="16.5" customHeight="1"/>
    <row r="22" spans="6:7" ht="12.75">
      <c r="F22" s="742"/>
      <c r="G22" s="742"/>
    </row>
    <row r="23" spans="6:7" ht="12.75">
      <c r="F23" s="742"/>
      <c r="G23" s="742"/>
    </row>
    <row r="25" spans="6:7" ht="12.75">
      <c r="F25" s="742"/>
      <c r="G25" s="742"/>
    </row>
    <row r="27" spans="6:7" ht="12.75">
      <c r="F27" s="742"/>
      <c r="G27" s="742"/>
    </row>
  </sheetData>
  <sheetProtection algorithmName="SHA-512" hashValue="5+Ajhv3eTMHcon9l3CSWiVJldgxH1sJ5Mu1reslJWhVVQkwqDqz/RxukmzypS4PbEDqScH5CcaKudIUdRUmj7w==" saltValue="8uYVt6dd6iD9My2QB4i6BQ==" spinCount="100000" sheet="1" formatColumns="0" selectLockedCells="1"/>
  <mergeCells count="17">
    <mergeCell ref="B1:S1"/>
    <mergeCell ref="B6:C7"/>
    <mergeCell ref="D6:K7"/>
    <mergeCell ref="L6:S7"/>
    <mergeCell ref="B8:C8"/>
    <mergeCell ref="D8:E8"/>
    <mergeCell ref="F8:G8"/>
    <mergeCell ref="H8:I8"/>
    <mergeCell ref="J8:K8"/>
    <mergeCell ref="L8:M8"/>
    <mergeCell ref="B12:B13"/>
    <mergeCell ref="N8:O8"/>
    <mergeCell ref="P8:Q8"/>
    <mergeCell ref="R8:S8"/>
    <mergeCell ref="B9:C9"/>
    <mergeCell ref="B10:C10"/>
    <mergeCell ref="B11:S11"/>
  </mergeCells>
  <dataValidations count="1">
    <dataValidation type="whole" allowBlank="1" showInputMessage="1" showErrorMessage="1" errorTitle="ERRORE" error="INSERIRE SOLO NUMERI INTERI COMPRESI TRA 0 E 9999999" sqref="D10:S10 D12:S12" xr:uid="{00000000-0002-0000-0400-000000000000}">
      <formula1>0</formula1>
      <formula2>9999999</formula2>
    </dataValidation>
  </dataValidations>
  <pageMargins left="0.39" right="0.4" top="1" bottom="1" header="0.5" footer="0.5"/>
  <pageSetup paperSize="9" orientation="landscape" horizontalDpi="0" verticalDpi="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10"/>
  <dimension ref="A1:R11"/>
  <sheetViews>
    <sheetView showGridLines="0" zoomScaleNormal="100" workbookViewId="0">
      <pane xSplit="2" ySplit="5" topLeftCell="C6" activePane="bottomRight" state="frozen"/>
      <selection activeCell="A2" sqref="A2"/>
      <selection pane="topRight" activeCell="A2" sqref="A2"/>
      <selection pane="bottomLeft" activeCell="A2" sqref="A2"/>
      <selection pane="bottomRight" activeCell="C6" sqref="C6"/>
    </sheetView>
  </sheetViews>
  <sheetFormatPr defaultColWidth="10.6640625" defaultRowHeight="11.25"/>
  <cols>
    <col min="1" max="1" width="41" style="82" customWidth="1"/>
    <col min="2" max="2" width="10.6640625" style="92" customWidth="1"/>
    <col min="3" max="14" width="11.5" style="82" customWidth="1"/>
    <col min="15" max="16" width="11.5" customWidth="1"/>
    <col min="17" max="18" width="9.1640625" style="82" customWidth="1"/>
    <col min="19" max="19" width="6.6640625" style="82" customWidth="1"/>
    <col min="20" max="23" width="10.6640625" style="82" customWidth="1"/>
    <col min="24" max="16384" width="10.6640625" style="82"/>
  </cols>
  <sheetData>
    <row r="1" spans="1:18" s="3" customFormat="1" ht="43.5" customHeight="1">
      <c r="A1" s="912" t="str">
        <f>'t1'!A1</f>
        <v>Amministrazioni incluse nell'elenco ISTAT art. 1 c.3 legge 196/2009 (lista S13) - anno 2023</v>
      </c>
      <c r="B1" s="912"/>
      <c r="C1" s="912"/>
      <c r="D1" s="912"/>
      <c r="E1" s="912"/>
      <c r="F1" s="912"/>
      <c r="G1" s="912"/>
      <c r="H1" s="912"/>
      <c r="I1" s="912"/>
      <c r="J1" s="912"/>
      <c r="K1" s="912"/>
      <c r="L1" s="912"/>
      <c r="N1" s="288"/>
      <c r="O1"/>
      <c r="P1"/>
      <c r="Q1"/>
    </row>
    <row r="2" spans="1:18" s="3" customFormat="1" ht="30" customHeight="1" thickBot="1">
      <c r="A2" s="287"/>
      <c r="B2" s="2"/>
      <c r="F2" s="913"/>
      <c r="G2" s="913"/>
      <c r="H2" s="913"/>
      <c r="I2" s="913"/>
      <c r="J2" s="913"/>
      <c r="K2" s="913"/>
      <c r="L2" s="913"/>
      <c r="M2" s="913"/>
      <c r="N2" s="913"/>
      <c r="O2"/>
      <c r="P2"/>
      <c r="Q2"/>
    </row>
    <row r="3" spans="1:18" ht="18.75" customHeight="1" thickBot="1">
      <c r="A3" s="83"/>
      <c r="B3" s="84"/>
      <c r="C3" s="125" t="s">
        <v>124</v>
      </c>
      <c r="D3" s="126"/>
      <c r="E3" s="126"/>
      <c r="F3" s="127"/>
      <c r="G3" s="126"/>
      <c r="H3" s="126"/>
      <c r="I3" s="126"/>
      <c r="J3" s="126"/>
      <c r="K3" s="917" t="s">
        <v>125</v>
      </c>
      <c r="L3" s="918"/>
      <c r="M3" s="918"/>
      <c r="N3" s="918"/>
      <c r="O3" s="918"/>
      <c r="P3" s="919"/>
      <c r="Q3"/>
      <c r="R3"/>
    </row>
    <row r="4" spans="1:18" ht="21.75" customHeight="1" thickTop="1">
      <c r="A4" s="254" t="s">
        <v>122</v>
      </c>
      <c r="B4" s="255" t="s">
        <v>56</v>
      </c>
      <c r="C4" s="128" t="s">
        <v>168</v>
      </c>
      <c r="D4" s="129"/>
      <c r="E4" s="914" t="s">
        <v>85</v>
      </c>
      <c r="F4" s="915"/>
      <c r="G4" s="916" t="s">
        <v>48</v>
      </c>
      <c r="H4" s="916"/>
      <c r="I4" s="920" t="s">
        <v>490</v>
      </c>
      <c r="J4" s="921"/>
      <c r="K4" s="128" t="s">
        <v>168</v>
      </c>
      <c r="L4" s="130"/>
      <c r="M4" s="131" t="s">
        <v>85</v>
      </c>
      <c r="N4" s="130"/>
      <c r="O4" s="131" t="s">
        <v>48</v>
      </c>
      <c r="P4" s="130"/>
      <c r="Q4"/>
      <c r="R4"/>
    </row>
    <row r="5" spans="1:18" ht="12" thickBot="1">
      <c r="A5" s="88"/>
      <c r="B5" s="256"/>
      <c r="C5" s="132" t="s">
        <v>57</v>
      </c>
      <c r="D5" s="133" t="s">
        <v>58</v>
      </c>
      <c r="E5" s="134" t="s">
        <v>57</v>
      </c>
      <c r="F5" s="133" t="s">
        <v>58</v>
      </c>
      <c r="G5" s="134" t="s">
        <v>57</v>
      </c>
      <c r="H5" s="133" t="s">
        <v>58</v>
      </c>
      <c r="I5" s="134" t="s">
        <v>57</v>
      </c>
      <c r="J5" s="133" t="s">
        <v>58</v>
      </c>
      <c r="K5" s="135" t="s">
        <v>57</v>
      </c>
      <c r="L5" s="136" t="s">
        <v>58</v>
      </c>
      <c r="M5" s="137" t="s">
        <v>57</v>
      </c>
      <c r="N5" s="136" t="s">
        <v>58</v>
      </c>
      <c r="O5" s="137" t="s">
        <v>57</v>
      </c>
      <c r="P5" s="136" t="s">
        <v>58</v>
      </c>
      <c r="Q5"/>
      <c r="R5"/>
    </row>
    <row r="6" spans="1:18" ht="12.75" customHeight="1" thickTop="1">
      <c r="A6" s="15" t="str">
        <f>'t1'!A6</f>
        <v>PERSONALE DIRIGENTE</v>
      </c>
      <c r="B6" s="257" t="str">
        <f>'t1'!B6</f>
        <v>0D00NF</v>
      </c>
      <c r="C6" s="204"/>
      <c r="D6" s="205"/>
      <c r="E6" s="206"/>
      <c r="F6" s="454"/>
      <c r="G6" s="456"/>
      <c r="H6" s="205"/>
      <c r="I6" s="456"/>
      <c r="J6" s="205"/>
      <c r="K6" s="207"/>
      <c r="L6" s="208"/>
      <c r="M6" s="209"/>
      <c r="N6" s="485"/>
      <c r="O6" s="486"/>
      <c r="P6" s="481"/>
      <c r="Q6"/>
      <c r="R6"/>
    </row>
    <row r="7" spans="1:18" ht="12.75" customHeight="1" thickBot="1">
      <c r="A7" s="14" t="str">
        <f>'t1'!A7</f>
        <v>PERSONALE NON DIRIGENTE</v>
      </c>
      <c r="B7" s="258" t="str">
        <f>'t1'!B7</f>
        <v>0000ND</v>
      </c>
      <c r="C7" s="204"/>
      <c r="D7" s="205"/>
      <c r="E7" s="206"/>
      <c r="F7" s="454"/>
      <c r="G7" s="213"/>
      <c r="H7" s="205"/>
      <c r="I7" s="213"/>
      <c r="J7" s="205"/>
      <c r="K7" s="207"/>
      <c r="L7" s="208"/>
      <c r="M7" s="209"/>
      <c r="N7" s="487"/>
      <c r="O7" s="488"/>
      <c r="P7" s="482"/>
      <c r="Q7"/>
      <c r="R7"/>
    </row>
    <row r="8" spans="1:18" ht="15.75" customHeight="1" thickTop="1" thickBot="1">
      <c r="A8" s="90" t="s">
        <v>59</v>
      </c>
      <c r="B8" s="150"/>
      <c r="C8" s="385">
        <f t="shared" ref="C8:P8" si="0">SUM(C6:C7)</f>
        <v>0</v>
      </c>
      <c r="D8" s="386">
        <f t="shared" si="0"/>
        <v>0</v>
      </c>
      <c r="E8" s="387">
        <f t="shared" si="0"/>
        <v>0</v>
      </c>
      <c r="F8" s="455">
        <f t="shared" si="0"/>
        <v>0</v>
      </c>
      <c r="G8" s="387">
        <f t="shared" si="0"/>
        <v>0</v>
      </c>
      <c r="H8" s="453">
        <f t="shared" si="0"/>
        <v>0</v>
      </c>
      <c r="I8" s="387">
        <f t="shared" si="0"/>
        <v>0</v>
      </c>
      <c r="J8" s="453">
        <f t="shared" si="0"/>
        <v>0</v>
      </c>
      <c r="K8" s="385">
        <f t="shared" si="0"/>
        <v>0</v>
      </c>
      <c r="L8" s="386">
        <f t="shared" si="0"/>
        <v>0</v>
      </c>
      <c r="M8" s="387">
        <f t="shared" si="0"/>
        <v>0</v>
      </c>
      <c r="N8" s="386">
        <f t="shared" si="0"/>
        <v>0</v>
      </c>
      <c r="O8" s="489">
        <f t="shared" si="0"/>
        <v>0</v>
      </c>
      <c r="P8" s="466">
        <f t="shared" si="0"/>
        <v>0</v>
      </c>
      <c r="Q8"/>
      <c r="R8"/>
    </row>
    <row r="9" spans="1:18">
      <c r="A9" s="16"/>
      <c r="B9" s="151"/>
      <c r="C9" s="3"/>
      <c r="D9" s="3"/>
      <c r="E9" s="3"/>
      <c r="F9" s="3"/>
      <c r="G9" s="3"/>
      <c r="H9" s="3"/>
      <c r="I9" s="3"/>
      <c r="J9" s="3"/>
      <c r="K9" s="3"/>
      <c r="L9" s="3"/>
      <c r="M9" s="3"/>
      <c r="N9" s="3"/>
    </row>
    <row r="10" spans="1:18">
      <c r="A10" s="16" t="s">
        <v>225</v>
      </c>
      <c r="B10" s="152"/>
    </row>
    <row r="11" spans="1:18">
      <c r="A11" s="70" t="s">
        <v>126</v>
      </c>
    </row>
  </sheetData>
  <sheetProtection password="DD41" sheet="1" formatColumns="0" selectLockedCells="1"/>
  <mergeCells count="6">
    <mergeCell ref="A1:L1"/>
    <mergeCell ref="F2:N2"/>
    <mergeCell ref="E4:F4"/>
    <mergeCell ref="G4:H4"/>
    <mergeCell ref="K3:P3"/>
    <mergeCell ref="I4:J4"/>
  </mergeCells>
  <phoneticPr fontId="29" type="noConversion"/>
  <printOptions horizontalCentered="1" verticalCentered="1"/>
  <pageMargins left="0" right="0" top="0.19685039370078741" bottom="0.15748031496062992" header="0.19685039370078741" footer="0.19685039370078741"/>
  <pageSetup paperSize="9" scale="75"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11"/>
  <dimension ref="A1:G28"/>
  <sheetViews>
    <sheetView showGridLines="0" workbookViewId="0">
      <pane xSplit="2" ySplit="14" topLeftCell="C15" activePane="bottomRight" state="frozen"/>
      <selection activeCell="A2" sqref="A2"/>
      <selection pane="topRight" activeCell="A2" sqref="A2"/>
      <selection pane="bottomLeft" activeCell="A2" sqref="A2"/>
      <selection pane="bottomRight" activeCell="C15" sqref="C15"/>
    </sheetView>
  </sheetViews>
  <sheetFormatPr defaultColWidth="9.33203125" defaultRowHeight="11.25"/>
  <cols>
    <col min="1" max="1" width="38.6640625" style="3" customWidth="1"/>
    <col min="2" max="2" width="9.1640625" style="2" customWidth="1"/>
    <col min="3" max="4" width="21.6640625" style="2" customWidth="1"/>
    <col min="5" max="5" width="21.6640625" style="3" customWidth="1"/>
    <col min="6" max="28" width="3.6640625" style="3" customWidth="1"/>
    <col min="29" max="16384" width="9.33203125" style="3"/>
  </cols>
  <sheetData>
    <row r="1" spans="1:5" ht="43.5" customHeight="1">
      <c r="A1" s="912" t="str">
        <f>'t1'!A1</f>
        <v>Amministrazioni incluse nell'elenco ISTAT art. 1 c.3 legge 196/2009 (lista S13) - anno 2023</v>
      </c>
      <c r="B1" s="912"/>
      <c r="C1" s="912"/>
      <c r="D1" s="912"/>
      <c r="E1" s="288"/>
    </row>
    <row r="2" spans="1:5" ht="45.6" customHeight="1" thickBot="1">
      <c r="A2" s="1"/>
      <c r="E2" s="430"/>
    </row>
    <row r="3" spans="1:5" ht="11.45" hidden="1" customHeight="1">
      <c r="A3" s="1"/>
      <c r="E3" s="490"/>
    </row>
    <row r="4" spans="1:5" ht="11.45" hidden="1" customHeight="1">
      <c r="A4" s="1"/>
      <c r="E4" s="490"/>
    </row>
    <row r="5" spans="1:5" ht="11.45" hidden="1" customHeight="1">
      <c r="A5" s="1"/>
      <c r="E5" s="490"/>
    </row>
    <row r="6" spans="1:5" ht="11.45" hidden="1" customHeight="1">
      <c r="A6" s="1"/>
      <c r="E6" s="490"/>
    </row>
    <row r="7" spans="1:5" ht="11.45" hidden="1" customHeight="1">
      <c r="A7" s="1"/>
      <c r="E7" s="490"/>
    </row>
    <row r="8" spans="1:5" ht="11.45" hidden="1" customHeight="1">
      <c r="A8" s="1"/>
      <c r="E8" s="490"/>
    </row>
    <row r="9" spans="1:5" ht="11.45" hidden="1" customHeight="1">
      <c r="A9" s="1"/>
      <c r="E9" s="490"/>
    </row>
    <row r="10" spans="1:5" ht="11.45" hidden="1" customHeight="1">
      <c r="A10" s="1"/>
      <c r="E10" s="490"/>
    </row>
    <row r="11" spans="1:5" ht="11.45" hidden="1" customHeight="1" thickBot="1">
      <c r="A11" s="1"/>
      <c r="E11" s="490"/>
    </row>
    <row r="12" spans="1:5" ht="13.5" thickBot="1">
      <c r="A12" s="281"/>
      <c r="B12" s="7"/>
      <c r="C12" s="924" t="s">
        <v>55</v>
      </c>
      <c r="D12" s="924"/>
      <c r="E12" s="925"/>
    </row>
    <row r="13" spans="1:5" s="94" customFormat="1" ht="33" customHeight="1" thickTop="1">
      <c r="A13" s="284"/>
      <c r="B13" s="282"/>
      <c r="C13" s="922" t="s">
        <v>163</v>
      </c>
      <c r="D13" s="923"/>
      <c r="E13" s="285"/>
    </row>
    <row r="14" spans="1:5" ht="63.75" customHeight="1" thickBot="1">
      <c r="A14" s="280" t="s">
        <v>235</v>
      </c>
      <c r="B14" s="283" t="s">
        <v>236</v>
      </c>
      <c r="C14" s="223" t="str">
        <f>B15</f>
        <v>0D00NF</v>
      </c>
      <c r="D14" s="224" t="str">
        <f>B16</f>
        <v>0000ND</v>
      </c>
      <c r="E14" s="286" t="s">
        <v>121</v>
      </c>
    </row>
    <row r="15" spans="1:5" ht="13.9" customHeight="1" thickTop="1">
      <c r="A15" s="14" t="str">
        <f>'t1'!A6</f>
        <v>PERSONALE DIRIGENTE</v>
      </c>
      <c r="B15" s="138" t="str">
        <f>'t1'!B6</f>
        <v>0D00NF</v>
      </c>
      <c r="C15" s="225"/>
      <c r="D15" s="225"/>
      <c r="E15" s="388">
        <f>SUM(C15:D15)</f>
        <v>0</v>
      </c>
    </row>
    <row r="16" spans="1:5" ht="13.9" customHeight="1" thickBot="1">
      <c r="A16" s="139" t="str">
        <f>'t1'!A7</f>
        <v>PERSONALE NON DIRIGENTE</v>
      </c>
      <c r="B16" s="203" t="str">
        <f>'t1'!B7</f>
        <v>0000ND</v>
      </c>
      <c r="C16" s="225"/>
      <c r="D16" s="225"/>
      <c r="E16" s="823">
        <f>SUM(C16:D16)</f>
        <v>0</v>
      </c>
    </row>
    <row r="17" spans="1:7" s="96" customFormat="1" ht="17.25" customHeight="1" thickTop="1" thickBot="1">
      <c r="A17" s="201" t="s">
        <v>160</v>
      </c>
      <c r="B17" s="202"/>
      <c r="C17" s="390">
        <f>SUM(C15:C16)</f>
        <v>0</v>
      </c>
      <c r="D17" s="391">
        <f>SUM(D15:D16)</f>
        <v>0</v>
      </c>
      <c r="E17" s="389">
        <f>SUM(E15:E16)</f>
        <v>0</v>
      </c>
    </row>
    <row r="18" spans="1:7" ht="17.25" customHeight="1">
      <c r="A18" s="16"/>
    </row>
    <row r="19" spans="1:7">
      <c r="A19" s="16"/>
    </row>
    <row r="28" spans="1:7">
      <c r="G28" s="146"/>
    </row>
  </sheetData>
  <sheetProtection algorithmName="SHA-512" hashValue="hR0efRY6isT1DcI8C2tgSI3qxkERJHUSgFWvzkdP9aEIT0ng0VdC8JlohED2j7Tvmv5YHSOfwuhQqw3FXh7Cfw==" saltValue="tyRaI02XegOpMFNcjNyoyA==" spinCount="100000" sheet="1" formatColumns="0" selectLockedCells="1"/>
  <mergeCells count="3">
    <mergeCell ref="C13:D13"/>
    <mergeCell ref="A1:D1"/>
    <mergeCell ref="C12:E12"/>
  </mergeCells>
  <phoneticPr fontId="29" type="noConversion"/>
  <printOptions horizontalCentered="1" verticalCentered="1"/>
  <pageMargins left="0" right="0" top="0.19685039370078741" bottom="0.15748031496062992" header="0.19685039370078741" footer="0.19685039370078741"/>
  <pageSetup paperSize="9" scale="75" orientation="landscape" horizontalDpi="300" verticalDpi="4294967292"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12"/>
  <dimension ref="A1:AA12"/>
  <sheetViews>
    <sheetView showGridLines="0" workbookViewId="0">
      <pane xSplit="2" ySplit="6" topLeftCell="C7" activePane="bottomRight" state="frozen"/>
      <selection activeCell="A2" sqref="A2"/>
      <selection pane="topRight" activeCell="A2" sqref="A2"/>
      <selection pane="bottomLeft" activeCell="A2" sqref="A2"/>
      <selection pane="bottomRight" activeCell="C7" sqref="C7"/>
    </sheetView>
  </sheetViews>
  <sheetFormatPr defaultColWidth="10.6640625" defaultRowHeight="11.25"/>
  <cols>
    <col min="1" max="1" width="39.6640625" style="82" customWidth="1"/>
    <col min="2" max="2" width="10.6640625" style="92" customWidth="1"/>
    <col min="3" max="14" width="11.1640625" style="82" customWidth="1"/>
    <col min="15" max="20" width="9.33203125" style="82" customWidth="1"/>
    <col min="21" max="22" width="11.1640625" style="82" customWidth="1"/>
    <col min="23" max="23" width="6.6640625" style="82" customWidth="1"/>
    <col min="24" max="27" width="10.6640625" style="82" customWidth="1"/>
    <col min="28" max="16384" width="10.6640625" style="82"/>
  </cols>
  <sheetData>
    <row r="1" spans="1:27" s="3" customFormat="1" ht="43.5" customHeight="1">
      <c r="A1" s="912" t="str">
        <f>'t1'!A1</f>
        <v>Amministrazioni incluse nell'elenco ISTAT art. 1 c.3 legge 196/2009 (lista S13) - anno 2023</v>
      </c>
      <c r="B1" s="912"/>
      <c r="C1" s="912"/>
      <c r="D1" s="912"/>
      <c r="E1" s="912"/>
      <c r="F1" s="912"/>
      <c r="G1" s="912"/>
      <c r="H1" s="912"/>
      <c r="I1" s="912"/>
      <c r="J1" s="912"/>
      <c r="K1" s="912"/>
      <c r="L1" s="912"/>
      <c r="M1" s="912"/>
      <c r="N1" s="912"/>
      <c r="O1" s="912"/>
      <c r="P1" s="912"/>
      <c r="Q1" s="912"/>
      <c r="R1" s="912"/>
      <c r="S1" s="912"/>
      <c r="T1" s="912"/>
      <c r="U1"/>
      <c r="V1" s="288"/>
    </row>
    <row r="2" spans="1:27" s="3" customFormat="1" ht="30" customHeight="1" thickBot="1">
      <c r="A2" s="287"/>
      <c r="B2" s="2"/>
      <c r="I2" s="4"/>
      <c r="N2" s="913"/>
      <c r="O2" s="913"/>
      <c r="P2" s="913"/>
      <c r="Q2" s="913"/>
      <c r="R2" s="913"/>
      <c r="S2" s="913"/>
      <c r="T2" s="913"/>
      <c r="U2" s="913"/>
      <c r="V2" s="913"/>
    </row>
    <row r="3" spans="1:27" ht="15" customHeight="1" thickBot="1">
      <c r="A3" s="83"/>
      <c r="B3" s="84"/>
      <c r="C3" s="279" t="s">
        <v>231</v>
      </c>
      <c r="D3" s="85"/>
      <c r="E3" s="85"/>
      <c r="F3" s="85"/>
      <c r="G3" s="85"/>
      <c r="H3" s="85"/>
      <c r="I3" s="85"/>
      <c r="J3" s="85"/>
      <c r="K3" s="85"/>
      <c r="L3" s="85"/>
      <c r="M3" s="85"/>
      <c r="N3" s="85"/>
      <c r="O3" s="85"/>
      <c r="P3" s="85"/>
      <c r="Q3" s="85"/>
      <c r="R3" s="85"/>
      <c r="S3" s="85"/>
      <c r="T3" s="85"/>
      <c r="U3" s="85"/>
      <c r="V3" s="86"/>
      <c r="X3"/>
      <c r="Y3"/>
      <c r="Z3"/>
      <c r="AA3"/>
    </row>
    <row r="4" spans="1:27" ht="30" customHeight="1" thickTop="1">
      <c r="A4" s="254" t="s">
        <v>122</v>
      </c>
      <c r="B4" s="87" t="s">
        <v>56</v>
      </c>
      <c r="C4" s="926" t="s">
        <v>311</v>
      </c>
      <c r="D4" s="927"/>
      <c r="E4" s="926" t="s">
        <v>518</v>
      </c>
      <c r="F4" s="927"/>
      <c r="G4" s="926" t="s">
        <v>312</v>
      </c>
      <c r="H4" s="927"/>
      <c r="I4" s="926" t="s">
        <v>49</v>
      </c>
      <c r="J4" s="927"/>
      <c r="K4" s="926" t="s">
        <v>50</v>
      </c>
      <c r="L4" s="927"/>
      <c r="M4" s="926" t="s">
        <v>466</v>
      </c>
      <c r="N4" s="927"/>
      <c r="O4" s="926" t="s">
        <v>507</v>
      </c>
      <c r="P4" s="927"/>
      <c r="Q4" s="926" t="s">
        <v>521</v>
      </c>
      <c r="R4" s="927"/>
      <c r="S4" s="926" t="s">
        <v>84</v>
      </c>
      <c r="T4" s="927"/>
      <c r="U4" s="926" t="s">
        <v>59</v>
      </c>
      <c r="V4" s="930"/>
      <c r="X4"/>
      <c r="Y4"/>
      <c r="Z4"/>
      <c r="AA4"/>
    </row>
    <row r="5" spans="1:27">
      <c r="A5" s="515"/>
      <c r="B5" s="87"/>
      <c r="C5" s="928" t="s">
        <v>315</v>
      </c>
      <c r="D5" s="929"/>
      <c r="E5" s="928" t="s">
        <v>316</v>
      </c>
      <c r="F5" s="929"/>
      <c r="G5" s="928" t="s">
        <v>317</v>
      </c>
      <c r="H5" s="929"/>
      <c r="I5" s="928" t="s">
        <v>318</v>
      </c>
      <c r="J5" s="929"/>
      <c r="K5" s="928" t="s">
        <v>319</v>
      </c>
      <c r="L5" s="929"/>
      <c r="M5" s="928" t="s">
        <v>441</v>
      </c>
      <c r="N5" s="929"/>
      <c r="O5" s="928" t="s">
        <v>352</v>
      </c>
      <c r="P5" s="929"/>
      <c r="Q5" s="928" t="s">
        <v>520</v>
      </c>
      <c r="R5" s="929"/>
      <c r="S5" s="928" t="s">
        <v>320</v>
      </c>
      <c r="T5" s="929"/>
      <c r="U5" s="928"/>
      <c r="V5" s="931"/>
      <c r="X5"/>
      <c r="Y5"/>
      <c r="Z5"/>
      <c r="AA5"/>
    </row>
    <row r="6" spans="1:27" ht="12" thickBot="1">
      <c r="A6" s="88"/>
      <c r="B6" s="89"/>
      <c r="C6" s="517" t="s">
        <v>57</v>
      </c>
      <c r="D6" s="518" t="s">
        <v>58</v>
      </c>
      <c r="E6" s="517" t="s">
        <v>57</v>
      </c>
      <c r="F6" s="518" t="s">
        <v>58</v>
      </c>
      <c r="G6" s="517" t="s">
        <v>57</v>
      </c>
      <c r="H6" s="518" t="s">
        <v>58</v>
      </c>
      <c r="I6" s="517" t="s">
        <v>57</v>
      </c>
      <c r="J6" s="518" t="s">
        <v>58</v>
      </c>
      <c r="K6" s="517" t="s">
        <v>57</v>
      </c>
      <c r="L6" s="518" t="s">
        <v>58</v>
      </c>
      <c r="M6" s="517" t="s">
        <v>57</v>
      </c>
      <c r="N6" s="518" t="s">
        <v>58</v>
      </c>
      <c r="O6" s="517" t="s">
        <v>57</v>
      </c>
      <c r="P6" s="518" t="s">
        <v>58</v>
      </c>
      <c r="Q6" s="517" t="s">
        <v>57</v>
      </c>
      <c r="R6" s="518" t="s">
        <v>58</v>
      </c>
      <c r="S6" s="517" t="s">
        <v>57</v>
      </c>
      <c r="T6" s="518" t="s">
        <v>58</v>
      </c>
      <c r="U6" s="517" t="s">
        <v>57</v>
      </c>
      <c r="V6" s="519" t="s">
        <v>58</v>
      </c>
      <c r="X6"/>
      <c r="Y6"/>
      <c r="Z6"/>
      <c r="AA6"/>
    </row>
    <row r="7" spans="1:27" ht="12.75" customHeight="1" thickTop="1">
      <c r="A7" s="15" t="str">
        <f>'t1'!A6</f>
        <v>PERSONALE DIRIGENTE</v>
      </c>
      <c r="B7" s="210" t="str">
        <f>'t1'!B6</f>
        <v>0D00NF</v>
      </c>
      <c r="C7" s="206"/>
      <c r="D7" s="211"/>
      <c r="E7" s="206"/>
      <c r="F7" s="211"/>
      <c r="G7" s="206"/>
      <c r="H7" s="211"/>
      <c r="I7" s="206"/>
      <c r="J7" s="211"/>
      <c r="K7" s="456"/>
      <c r="L7" s="205"/>
      <c r="M7" s="206"/>
      <c r="N7" s="211"/>
      <c r="O7" s="212"/>
      <c r="P7" s="211"/>
      <c r="Q7" s="212"/>
      <c r="R7" s="211"/>
      <c r="S7" s="212"/>
      <c r="T7" s="211"/>
      <c r="U7" s="392">
        <f>SUM(C7,E7,G7,I7,K7,M7,O7,Q7,S7)</f>
        <v>0</v>
      </c>
      <c r="V7" s="393">
        <f>SUM(D7,F7,H7,J7,L7,N7,P7,R7,T7)</f>
        <v>0</v>
      </c>
      <c r="X7"/>
      <c r="Y7"/>
      <c r="Z7"/>
      <c r="AA7"/>
    </row>
    <row r="8" spans="1:27" ht="12.75" customHeight="1" thickBot="1">
      <c r="A8" s="139" t="str">
        <f>'t1'!A7</f>
        <v>PERSONALE NON DIRIGENTE</v>
      </c>
      <c r="B8" s="203" t="str">
        <f>'t1'!B7</f>
        <v>0000ND</v>
      </c>
      <c r="C8" s="206"/>
      <c r="D8" s="211"/>
      <c r="E8" s="206"/>
      <c r="F8" s="211"/>
      <c r="G8" s="206"/>
      <c r="H8" s="211"/>
      <c r="I8" s="206"/>
      <c r="J8" s="211"/>
      <c r="K8" s="457"/>
      <c r="L8" s="205"/>
      <c r="M8" s="206"/>
      <c r="N8" s="211"/>
      <c r="O8" s="212"/>
      <c r="P8" s="211"/>
      <c r="Q8" s="212"/>
      <c r="R8" s="211"/>
      <c r="S8" s="212"/>
      <c r="T8" s="211"/>
      <c r="U8" s="394">
        <f>SUM(C8,E8,G8,I8,K8,M8,O8,Q8,S8)</f>
        <v>0</v>
      </c>
      <c r="V8" s="395">
        <f>SUM(D8,F8,H8,J8,L8,N8,P8,R8,T8)</f>
        <v>0</v>
      </c>
      <c r="X8"/>
      <c r="Y8"/>
      <c r="Z8"/>
      <c r="AA8"/>
    </row>
    <row r="9" spans="1:27" ht="13.5" customHeight="1" thickTop="1" thickBot="1">
      <c r="A9" s="272" t="s">
        <v>59</v>
      </c>
      <c r="B9" s="91"/>
      <c r="C9" s="387">
        <f t="shared" ref="C9:V9" si="0">SUM(C7:C8)</f>
        <v>0</v>
      </c>
      <c r="D9" s="386">
        <f t="shared" si="0"/>
        <v>0</v>
      </c>
      <c r="E9" s="387">
        <f t="shared" si="0"/>
        <v>0</v>
      </c>
      <c r="F9" s="386">
        <f t="shared" si="0"/>
        <v>0</v>
      </c>
      <c r="G9" s="387">
        <f t="shared" si="0"/>
        <v>0</v>
      </c>
      <c r="H9" s="386">
        <f t="shared" si="0"/>
        <v>0</v>
      </c>
      <c r="I9" s="387">
        <f t="shared" si="0"/>
        <v>0</v>
      </c>
      <c r="J9" s="386">
        <f t="shared" si="0"/>
        <v>0</v>
      </c>
      <c r="K9" s="387">
        <f t="shared" si="0"/>
        <v>0</v>
      </c>
      <c r="L9" s="453">
        <f t="shared" si="0"/>
        <v>0</v>
      </c>
      <c r="M9" s="387">
        <f t="shared" si="0"/>
        <v>0</v>
      </c>
      <c r="N9" s="386">
        <f t="shared" si="0"/>
        <v>0</v>
      </c>
      <c r="O9" s="387">
        <f t="shared" si="0"/>
        <v>0</v>
      </c>
      <c r="P9" s="386">
        <f t="shared" si="0"/>
        <v>0</v>
      </c>
      <c r="Q9" s="387">
        <f>SUM(Q7:Q8)</f>
        <v>0</v>
      </c>
      <c r="R9" s="386">
        <f>SUM(R7:R8)</f>
        <v>0</v>
      </c>
      <c r="S9" s="387">
        <f t="shared" si="0"/>
        <v>0</v>
      </c>
      <c r="T9" s="386">
        <f t="shared" si="0"/>
        <v>0</v>
      </c>
      <c r="U9" s="387">
        <f t="shared" si="0"/>
        <v>0</v>
      </c>
      <c r="V9" s="467">
        <f t="shared" si="0"/>
        <v>0</v>
      </c>
      <c r="X9"/>
      <c r="Y9"/>
      <c r="Z9"/>
      <c r="AA9"/>
    </row>
    <row r="10" spans="1:27" ht="18.75" customHeight="1">
      <c r="A10" s="82" t="s">
        <v>86</v>
      </c>
    </row>
    <row r="11" spans="1:27">
      <c r="A11" s="16"/>
      <c r="B11" s="2"/>
      <c r="C11" s="3"/>
      <c r="D11" s="3"/>
      <c r="E11" s="3"/>
      <c r="F11" s="3"/>
      <c r="G11" s="3"/>
      <c r="H11" s="3"/>
      <c r="I11" s="3"/>
      <c r="J11" s="3"/>
      <c r="K11" s="3"/>
      <c r="L11" s="3"/>
      <c r="M11" s="3"/>
      <c r="N11" s="3"/>
    </row>
    <row r="12" spans="1:27">
      <c r="A12" s="16"/>
    </row>
  </sheetData>
  <sheetProtection password="DD41" sheet="1" formatColumns="0" selectLockedCells="1"/>
  <mergeCells count="22">
    <mergeCell ref="S5:T5"/>
    <mergeCell ref="C4:D4"/>
    <mergeCell ref="E4:F4"/>
    <mergeCell ref="I4:J4"/>
    <mergeCell ref="O5:P5"/>
    <mergeCell ref="K5:L5"/>
    <mergeCell ref="A1:T1"/>
    <mergeCell ref="G4:H4"/>
    <mergeCell ref="C5:D5"/>
    <mergeCell ref="E5:F5"/>
    <mergeCell ref="G5:H5"/>
    <mergeCell ref="O4:P4"/>
    <mergeCell ref="I5:J5"/>
    <mergeCell ref="K4:L4"/>
    <mergeCell ref="N2:V2"/>
    <mergeCell ref="Q5:R5"/>
    <mergeCell ref="Q4:R4"/>
    <mergeCell ref="S4:T4"/>
    <mergeCell ref="M4:N4"/>
    <mergeCell ref="U4:V4"/>
    <mergeCell ref="U5:V5"/>
    <mergeCell ref="M5:N5"/>
  </mergeCells>
  <phoneticPr fontId="29" type="noConversion"/>
  <conditionalFormatting sqref="Q7:R8">
    <cfRule type="expression" dxfId="4" priority="1" stopIfTrue="1">
      <formula>$W7&gt;0</formula>
    </cfRule>
  </conditionalFormatting>
  <printOptions horizontalCentered="1" verticalCentered="1"/>
  <pageMargins left="0" right="0" top="0.15748031496062992" bottom="0.15748031496062992" header="0.19685039370078741" footer="0.19685039370078741"/>
  <pageSetup paperSize="9" scale="7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3"/>
  <dimension ref="A1:W11"/>
  <sheetViews>
    <sheetView showGridLines="0" workbookViewId="0">
      <pane xSplit="2" ySplit="6" topLeftCell="C7" activePane="bottomRight" state="frozen"/>
      <selection activeCell="A2" sqref="A2"/>
      <selection pane="topRight" activeCell="A2" sqref="A2"/>
      <selection pane="bottomLeft" activeCell="A2" sqref="A2"/>
      <selection pane="bottomRight" activeCell="C7" sqref="C7"/>
    </sheetView>
  </sheetViews>
  <sheetFormatPr defaultColWidth="10.6640625" defaultRowHeight="11.25"/>
  <cols>
    <col min="1" max="1" width="36.6640625" style="70" customWidth="1"/>
    <col min="2" max="2" width="10.6640625" style="69" customWidth="1"/>
    <col min="3" max="8" width="10.6640625" style="70" customWidth="1"/>
    <col min="9" max="12" width="11.1640625" style="70" customWidth="1"/>
    <col min="13" max="20" width="10.33203125" style="70" customWidth="1"/>
    <col min="21" max="22" width="10.6640625" style="70" customWidth="1"/>
    <col min="23" max="23" width="5.6640625" style="70" customWidth="1"/>
    <col min="24" max="16384" width="10.6640625" style="70"/>
  </cols>
  <sheetData>
    <row r="1" spans="1:23" s="3" customFormat="1" ht="43.5" customHeight="1">
      <c r="A1" s="912" t="str">
        <f>'t1'!A1</f>
        <v>Amministrazioni incluse nell'elenco ISTAT art. 1 c.3 legge 196/2009 (lista S13) - anno 2023</v>
      </c>
      <c r="B1" s="912"/>
      <c r="C1" s="912"/>
      <c r="D1" s="912"/>
      <c r="E1" s="912"/>
      <c r="F1" s="912"/>
      <c r="G1" s="912"/>
      <c r="H1" s="912"/>
      <c r="I1" s="912"/>
      <c r="J1" s="912"/>
      <c r="K1" s="912"/>
      <c r="L1" s="912"/>
      <c r="M1" s="912"/>
      <c r="N1" s="912"/>
      <c r="O1" s="912"/>
      <c r="P1" s="912"/>
      <c r="Q1" s="321"/>
      <c r="R1" s="321"/>
      <c r="S1" s="321"/>
      <c r="T1" s="321"/>
      <c r="V1" s="288"/>
      <c r="W1"/>
    </row>
    <row r="2" spans="1:23" ht="30" customHeight="1" thickBot="1">
      <c r="A2" s="68"/>
      <c r="D2" s="71"/>
      <c r="E2" s="71"/>
      <c r="F2" s="71"/>
      <c r="J2" s="913"/>
      <c r="K2" s="913"/>
      <c r="L2" s="913"/>
      <c r="M2" s="913"/>
      <c r="N2" s="913"/>
      <c r="O2" s="913"/>
      <c r="P2" s="913"/>
      <c r="Q2" s="913"/>
      <c r="R2" s="913"/>
      <c r="S2" s="913"/>
      <c r="T2" s="913"/>
      <c r="U2" s="913"/>
      <c r="V2" s="913"/>
    </row>
    <row r="3" spans="1:23" ht="15" customHeight="1" thickBot="1">
      <c r="A3" s="72"/>
      <c r="B3" s="73"/>
      <c r="C3" s="74" t="s">
        <v>232</v>
      </c>
      <c r="D3" s="75"/>
      <c r="E3" s="75"/>
      <c r="F3" s="75"/>
      <c r="G3" s="75"/>
      <c r="H3" s="75"/>
      <c r="I3" s="75"/>
      <c r="J3" s="75"/>
      <c r="K3" s="75"/>
      <c r="L3" s="75"/>
      <c r="M3" s="75"/>
      <c r="N3" s="75"/>
      <c r="O3" s="75"/>
      <c r="P3" s="75"/>
      <c r="Q3" s="75"/>
      <c r="R3" s="75"/>
      <c r="S3" s="75"/>
      <c r="T3" s="75"/>
      <c r="U3" s="75"/>
      <c r="V3" s="76"/>
    </row>
    <row r="4" spans="1:23" ht="37.5" customHeight="1" thickTop="1">
      <c r="A4" s="253" t="s">
        <v>127</v>
      </c>
      <c r="B4" s="77" t="s">
        <v>56</v>
      </c>
      <c r="C4" s="936" t="s">
        <v>314</v>
      </c>
      <c r="D4" s="915"/>
      <c r="E4" s="936" t="s">
        <v>84</v>
      </c>
      <c r="F4" s="915"/>
      <c r="G4" s="936" t="s">
        <v>458</v>
      </c>
      <c r="H4" s="937"/>
      <c r="I4" s="940" t="s">
        <v>292</v>
      </c>
      <c r="J4" s="941"/>
      <c r="K4" s="936" t="s">
        <v>293</v>
      </c>
      <c r="L4" s="937"/>
      <c r="M4" s="936" t="s">
        <v>294</v>
      </c>
      <c r="N4" s="937"/>
      <c r="O4" s="940" t="s">
        <v>295</v>
      </c>
      <c r="P4" s="942"/>
      <c r="Q4" s="936" t="s">
        <v>522</v>
      </c>
      <c r="R4" s="937"/>
      <c r="S4" s="940" t="s">
        <v>523</v>
      </c>
      <c r="T4" s="942"/>
      <c r="U4" s="938" t="s">
        <v>59</v>
      </c>
      <c r="V4" s="939"/>
    </row>
    <row r="5" spans="1:23">
      <c r="A5" s="516"/>
      <c r="B5" s="77"/>
      <c r="C5" s="932" t="s">
        <v>321</v>
      </c>
      <c r="D5" s="933"/>
      <c r="E5" s="932" t="s">
        <v>322</v>
      </c>
      <c r="F5" s="933"/>
      <c r="G5" s="932" t="s">
        <v>323</v>
      </c>
      <c r="H5" s="933"/>
      <c r="I5" s="932" t="s">
        <v>324</v>
      </c>
      <c r="J5" s="933"/>
      <c r="K5" s="932" t="s">
        <v>325</v>
      </c>
      <c r="L5" s="933"/>
      <c r="M5" s="932" t="s">
        <v>326</v>
      </c>
      <c r="N5" s="933"/>
      <c r="O5" s="932" t="s">
        <v>327</v>
      </c>
      <c r="P5" s="933"/>
      <c r="Q5" s="932" t="s">
        <v>442</v>
      </c>
      <c r="R5" s="933"/>
      <c r="S5" s="932" t="s">
        <v>506</v>
      </c>
      <c r="T5" s="933"/>
      <c r="U5" s="934"/>
      <c r="V5" s="935"/>
    </row>
    <row r="6" spans="1:23" ht="12" thickBot="1">
      <c r="A6" s="78"/>
      <c r="B6" s="79"/>
      <c r="C6" s="520" t="s">
        <v>57</v>
      </c>
      <c r="D6" s="521" t="s">
        <v>58</v>
      </c>
      <c r="E6" s="520" t="s">
        <v>57</v>
      </c>
      <c r="F6" s="521" t="s">
        <v>58</v>
      </c>
      <c r="G6" s="520" t="s">
        <v>57</v>
      </c>
      <c r="H6" s="521" t="s">
        <v>58</v>
      </c>
      <c r="I6" s="520" t="s">
        <v>57</v>
      </c>
      <c r="J6" s="521" t="s">
        <v>58</v>
      </c>
      <c r="K6" s="520" t="s">
        <v>57</v>
      </c>
      <c r="L6" s="521" t="s">
        <v>58</v>
      </c>
      <c r="M6" s="520" t="s">
        <v>57</v>
      </c>
      <c r="N6" s="521" t="s">
        <v>58</v>
      </c>
      <c r="O6" s="520" t="s">
        <v>57</v>
      </c>
      <c r="P6" s="521" t="s">
        <v>58</v>
      </c>
      <c r="Q6" s="520" t="s">
        <v>57</v>
      </c>
      <c r="R6" s="521" t="s">
        <v>58</v>
      </c>
      <c r="S6" s="520" t="s">
        <v>57</v>
      </c>
      <c r="T6" s="521" t="s">
        <v>58</v>
      </c>
      <c r="U6" s="520" t="s">
        <v>57</v>
      </c>
      <c r="V6" s="522" t="s">
        <v>58</v>
      </c>
    </row>
    <row r="7" spans="1:23" ht="12" customHeight="1" thickTop="1">
      <c r="A7" s="15" t="str">
        <f>'t1'!A6</f>
        <v>PERSONALE DIRIGENTE</v>
      </c>
      <c r="B7" s="210" t="str">
        <f>'t1'!B6</f>
        <v>0D00NF</v>
      </c>
      <c r="C7" s="560"/>
      <c r="D7" s="561"/>
      <c r="E7" s="560"/>
      <c r="F7" s="562"/>
      <c r="G7" s="560"/>
      <c r="H7" s="562"/>
      <c r="I7" s="560"/>
      <c r="J7" s="561"/>
      <c r="K7" s="562"/>
      <c r="L7" s="561"/>
      <c r="M7" s="562"/>
      <c r="N7" s="561"/>
      <c r="O7" s="563"/>
      <c r="P7" s="564"/>
      <c r="Q7" s="640"/>
      <c r="R7" s="485"/>
      <c r="S7" s="641"/>
      <c r="T7" s="485"/>
      <c r="U7" s="396">
        <f>SUM(C7,E7,G7,I7,K7,M7,O7,Q7,S7)</f>
        <v>0</v>
      </c>
      <c r="V7" s="397">
        <f>SUM(D7,F7,H7,J7,L7,N7,P7,R7,T7)</f>
        <v>0</v>
      </c>
    </row>
    <row r="8" spans="1:23" ht="12" customHeight="1" thickBot="1">
      <c r="A8" s="139" t="str">
        <f>'t1'!A7</f>
        <v>PERSONALE NON DIRIGENTE</v>
      </c>
      <c r="B8" s="203" t="str">
        <f>'t1'!B7</f>
        <v>0000ND</v>
      </c>
      <c r="C8" s="565"/>
      <c r="D8" s="566"/>
      <c r="E8" s="565"/>
      <c r="F8" s="567"/>
      <c r="G8" s="565"/>
      <c r="H8" s="567"/>
      <c r="I8" s="565"/>
      <c r="J8" s="566"/>
      <c r="K8" s="567"/>
      <c r="L8" s="566"/>
      <c r="M8" s="567"/>
      <c r="N8" s="566"/>
      <c r="O8" s="568"/>
      <c r="P8" s="569"/>
      <c r="Q8" s="642"/>
      <c r="R8" s="643"/>
      <c r="S8" s="644"/>
      <c r="T8" s="643"/>
      <c r="U8" s="396">
        <f>SUM(C8,E8,G8,I8,K8,M8,O8,Q8,S8)</f>
        <v>0</v>
      </c>
      <c r="V8" s="397">
        <f>SUM(D8,F8,H8,J8,L8,N8,P8,R8,T8)</f>
        <v>0</v>
      </c>
    </row>
    <row r="9" spans="1:23" ht="12.75" customHeight="1" thickTop="1" thickBot="1">
      <c r="A9" s="80" t="s">
        <v>59</v>
      </c>
      <c r="B9" s="81"/>
      <c r="C9" s="398">
        <f t="shared" ref="C9:V9" si="0">SUM(C7:C8)</f>
        <v>0</v>
      </c>
      <c r="D9" s="400">
        <f t="shared" si="0"/>
        <v>0</v>
      </c>
      <c r="E9" s="468">
        <f t="shared" si="0"/>
        <v>0</v>
      </c>
      <c r="F9" s="400">
        <f t="shared" si="0"/>
        <v>0</v>
      </c>
      <c r="G9" s="468">
        <f t="shared" si="0"/>
        <v>0</v>
      </c>
      <c r="H9" s="400">
        <f t="shared" si="0"/>
        <v>0</v>
      </c>
      <c r="I9" s="468">
        <f t="shared" si="0"/>
        <v>0</v>
      </c>
      <c r="J9" s="400">
        <f t="shared" si="0"/>
        <v>0</v>
      </c>
      <c r="K9" s="468">
        <f t="shared" si="0"/>
        <v>0</v>
      </c>
      <c r="L9" s="400">
        <f t="shared" si="0"/>
        <v>0</v>
      </c>
      <c r="M9" s="468">
        <f t="shared" si="0"/>
        <v>0</v>
      </c>
      <c r="N9" s="400">
        <f t="shared" si="0"/>
        <v>0</v>
      </c>
      <c r="O9" s="468">
        <f t="shared" si="0"/>
        <v>0</v>
      </c>
      <c r="P9" s="400">
        <f t="shared" si="0"/>
        <v>0</v>
      </c>
      <c r="Q9" s="645">
        <f t="shared" si="0"/>
        <v>0</v>
      </c>
      <c r="R9" s="646">
        <f t="shared" si="0"/>
        <v>0</v>
      </c>
      <c r="S9" s="645">
        <f>SUM(S7:S8)</f>
        <v>0</v>
      </c>
      <c r="T9" s="646">
        <f>SUM(T7:T8)</f>
        <v>0</v>
      </c>
      <c r="U9" s="398">
        <f t="shared" si="0"/>
        <v>0</v>
      </c>
      <c r="V9" s="399">
        <f t="shared" si="0"/>
        <v>0</v>
      </c>
    </row>
    <row r="11" spans="1:23">
      <c r="A11" s="70" t="s">
        <v>138</v>
      </c>
    </row>
  </sheetData>
  <sheetProtection password="DD41" sheet="1" formatColumns="0" selectLockedCells="1"/>
  <mergeCells count="22">
    <mergeCell ref="A1:P1"/>
    <mergeCell ref="G4:H4"/>
    <mergeCell ref="C4:D4"/>
    <mergeCell ref="E4:F4"/>
    <mergeCell ref="J2:V2"/>
    <mergeCell ref="O4:P4"/>
    <mergeCell ref="C5:D5"/>
    <mergeCell ref="U5:V5"/>
    <mergeCell ref="Q5:R5"/>
    <mergeCell ref="E5:F5"/>
    <mergeCell ref="Q4:R4"/>
    <mergeCell ref="K5:L5"/>
    <mergeCell ref="M5:N5"/>
    <mergeCell ref="G5:H5"/>
    <mergeCell ref="I5:J5"/>
    <mergeCell ref="U4:V4"/>
    <mergeCell ref="I4:J4"/>
    <mergeCell ref="S4:T4"/>
    <mergeCell ref="S5:T5"/>
    <mergeCell ref="O5:P5"/>
    <mergeCell ref="M4:N4"/>
    <mergeCell ref="K4:L4"/>
  </mergeCells>
  <phoneticPr fontId="29" type="noConversion"/>
  <printOptions horizontalCentered="1" verticalCentered="1"/>
  <pageMargins left="0" right="0" top="0.19685039370078741" bottom="0.15748031496062992" header="0.15748031496062992" footer="0.15748031496062992"/>
  <pageSetup paperSize="9" scale="7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4"/>
  <dimension ref="A1:X10"/>
  <sheetViews>
    <sheetView showGridLines="0" workbookViewId="0">
      <pane xSplit="2" ySplit="5" topLeftCell="C6" activePane="bottomRight" state="frozen"/>
      <selection activeCell="A2" sqref="A2"/>
      <selection pane="topRight" activeCell="A2" sqref="A2"/>
      <selection pane="bottomLeft" activeCell="A2" sqref="A2"/>
      <selection pane="bottomRight" activeCell="C6" sqref="C6"/>
    </sheetView>
  </sheetViews>
  <sheetFormatPr defaultColWidth="10.6640625" defaultRowHeight="11.25"/>
  <cols>
    <col min="1" max="1" width="37.5" style="51" customWidth="1"/>
    <col min="2" max="2" width="10.5" style="53" customWidth="1"/>
    <col min="3" max="22" width="8.33203125" style="51" customWidth="1"/>
    <col min="23" max="23" width="10" style="51" customWidth="1"/>
    <col min="24" max="16384" width="10.6640625" style="51"/>
  </cols>
  <sheetData>
    <row r="1" spans="1:24" s="3" customFormat="1" ht="43.5" customHeight="1">
      <c r="A1" s="912" t="str">
        <f>'t1'!A1</f>
        <v>Amministrazioni incluse nell'elenco ISTAT art. 1 c.3 legge 196/2009 (lista S13) - anno 2023</v>
      </c>
      <c r="B1" s="912"/>
      <c r="C1" s="912"/>
      <c r="D1" s="912"/>
      <c r="E1" s="912"/>
      <c r="F1" s="912"/>
      <c r="G1" s="912"/>
      <c r="H1" s="912"/>
      <c r="I1" s="912"/>
      <c r="J1" s="912"/>
      <c r="K1" s="912"/>
      <c r="L1" s="912"/>
      <c r="M1" s="912"/>
      <c r="N1" s="912"/>
      <c r="O1" s="912"/>
      <c r="P1" s="912"/>
      <c r="Q1" s="912"/>
      <c r="R1" s="912"/>
      <c r="S1" s="912"/>
      <c r="T1" s="912"/>
      <c r="U1" s="912"/>
      <c r="V1" s="912"/>
      <c r="X1" s="288"/>
    </row>
    <row r="2" spans="1:24" ht="30" customHeight="1" thickBot="1">
      <c r="A2" s="52"/>
      <c r="P2" s="913"/>
      <c r="Q2" s="913"/>
      <c r="R2" s="913"/>
      <c r="S2" s="913"/>
      <c r="T2" s="913"/>
      <c r="U2" s="913"/>
      <c r="V2" s="913"/>
      <c r="W2" s="913"/>
      <c r="X2" s="913"/>
    </row>
    <row r="3" spans="1:24" ht="16.5" customHeight="1" thickBot="1">
      <c r="A3" s="54"/>
      <c r="B3" s="55"/>
      <c r="C3" s="56" t="s">
        <v>232</v>
      </c>
      <c r="D3" s="57"/>
      <c r="E3" s="57"/>
      <c r="F3" s="57"/>
      <c r="G3" s="57"/>
      <c r="H3" s="57"/>
      <c r="I3" s="57"/>
      <c r="J3" s="57"/>
      <c r="K3" s="57"/>
      <c r="L3" s="57"/>
      <c r="M3" s="57"/>
      <c r="N3" s="57"/>
      <c r="O3" s="57"/>
      <c r="P3" s="57"/>
      <c r="Q3" s="57"/>
      <c r="R3" s="57"/>
      <c r="S3" s="57"/>
      <c r="T3" s="58"/>
      <c r="U3" s="57"/>
      <c r="V3" s="58"/>
      <c r="W3" s="57"/>
      <c r="X3" s="58"/>
    </row>
    <row r="4" spans="1:24" ht="16.5" customHeight="1" thickTop="1">
      <c r="A4" s="252" t="s">
        <v>135</v>
      </c>
      <c r="B4" s="59" t="s">
        <v>56</v>
      </c>
      <c r="C4" s="943" t="s">
        <v>76</v>
      </c>
      <c r="D4" s="944"/>
      <c r="E4" s="943" t="s">
        <v>77</v>
      </c>
      <c r="F4" s="944"/>
      <c r="G4" s="943" t="s">
        <v>78</v>
      </c>
      <c r="H4" s="944"/>
      <c r="I4" s="943" t="s">
        <v>79</v>
      </c>
      <c r="J4" s="944"/>
      <c r="K4" s="943" t="s">
        <v>80</v>
      </c>
      <c r="L4" s="944"/>
      <c r="M4" s="943" t="s">
        <v>81</v>
      </c>
      <c r="N4" s="944"/>
      <c r="O4" s="943" t="s">
        <v>82</v>
      </c>
      <c r="P4" s="944"/>
      <c r="Q4" s="943" t="s">
        <v>83</v>
      </c>
      <c r="R4" s="944"/>
      <c r="S4" s="943" t="s">
        <v>348</v>
      </c>
      <c r="T4" s="944"/>
      <c r="U4" s="943" t="s">
        <v>349</v>
      </c>
      <c r="V4" s="944"/>
      <c r="W4" s="60" t="s">
        <v>59</v>
      </c>
      <c r="X4" s="122"/>
    </row>
    <row r="5" spans="1:24" ht="12" thickBot="1">
      <c r="A5" s="61"/>
      <c r="B5" s="62"/>
      <c r="C5" s="63" t="s">
        <v>74</v>
      </c>
      <c r="D5" s="64" t="s">
        <v>75</v>
      </c>
      <c r="E5" s="63" t="s">
        <v>74</v>
      </c>
      <c r="F5" s="64" t="s">
        <v>75</v>
      </c>
      <c r="G5" s="63" t="s">
        <v>74</v>
      </c>
      <c r="H5" s="64" t="s">
        <v>75</v>
      </c>
      <c r="I5" s="63" t="s">
        <v>74</v>
      </c>
      <c r="J5" s="64" t="s">
        <v>75</v>
      </c>
      <c r="K5" s="63" t="s">
        <v>74</v>
      </c>
      <c r="L5" s="64" t="s">
        <v>75</v>
      </c>
      <c r="M5" s="63" t="s">
        <v>74</v>
      </c>
      <c r="N5" s="64" t="s">
        <v>75</v>
      </c>
      <c r="O5" s="63" t="s">
        <v>74</v>
      </c>
      <c r="P5" s="64" t="s">
        <v>75</v>
      </c>
      <c r="Q5" s="63" t="s">
        <v>74</v>
      </c>
      <c r="R5" s="64" t="s">
        <v>75</v>
      </c>
      <c r="S5" s="63" t="s">
        <v>74</v>
      </c>
      <c r="T5" s="65" t="s">
        <v>75</v>
      </c>
      <c r="U5" s="63" t="s">
        <v>74</v>
      </c>
      <c r="V5" s="65" t="s">
        <v>75</v>
      </c>
      <c r="W5" s="63" t="s">
        <v>74</v>
      </c>
      <c r="X5" s="65" t="s">
        <v>75</v>
      </c>
    </row>
    <row r="6" spans="1:24" ht="12.75" customHeight="1" thickTop="1">
      <c r="A6" s="15" t="str">
        <f>'t1'!A6</f>
        <v>PERSONALE DIRIGENTE</v>
      </c>
      <c r="B6" s="210" t="str">
        <f>'t1'!B6</f>
        <v>0D00NF</v>
      </c>
      <c r="C6" s="214"/>
      <c r="D6" s="215"/>
      <c r="E6" s="214"/>
      <c r="F6" s="215"/>
      <c r="G6" s="214"/>
      <c r="H6" s="215"/>
      <c r="I6" s="214"/>
      <c r="J6" s="215"/>
      <c r="K6" s="214"/>
      <c r="L6" s="215"/>
      <c r="M6" s="216"/>
      <c r="N6" s="217"/>
      <c r="O6" s="214"/>
      <c r="P6" s="215"/>
      <c r="Q6" s="214"/>
      <c r="R6" s="215"/>
      <c r="S6" s="218"/>
      <c r="T6" s="219"/>
      <c r="U6" s="218"/>
      <c r="V6" s="219"/>
      <c r="W6" s="404">
        <f>SUM(C6,E6,G6,I6,K6,M6,O6,Q6,S6,U6)</f>
        <v>0</v>
      </c>
      <c r="X6" s="405">
        <f>SUM(D6,F6,H6,J6,L6,N6,P6,R6,T6,V6)</f>
        <v>0</v>
      </c>
    </row>
    <row r="7" spans="1:24" ht="12.75" customHeight="1" thickBot="1">
      <c r="A7" s="139" t="str">
        <f>'t1'!A7</f>
        <v>PERSONALE NON DIRIGENTE</v>
      </c>
      <c r="B7" s="203" t="str">
        <f>'t1'!B7</f>
        <v>0000ND</v>
      </c>
      <c r="C7" s="214"/>
      <c r="D7" s="215"/>
      <c r="E7" s="214"/>
      <c r="F7" s="215"/>
      <c r="G7" s="214"/>
      <c r="H7" s="215"/>
      <c r="I7" s="214"/>
      <c r="J7" s="215"/>
      <c r="K7" s="214"/>
      <c r="L7" s="215"/>
      <c r="M7" s="216"/>
      <c r="N7" s="217"/>
      <c r="O7" s="214"/>
      <c r="P7" s="215"/>
      <c r="Q7" s="214"/>
      <c r="R7" s="215"/>
      <c r="S7" s="218"/>
      <c r="T7" s="220"/>
      <c r="U7" s="218"/>
      <c r="V7" s="220"/>
      <c r="W7" s="404">
        <f>SUM(C7,E7,G7,I7,K7,M7,O7,Q7,S7,U7)</f>
        <v>0</v>
      </c>
      <c r="X7" s="406">
        <f>SUM(D7,F7,H7,J7,L7,N7,P7,R7,T7,V7)</f>
        <v>0</v>
      </c>
    </row>
    <row r="8" spans="1:24" ht="17.25" customHeight="1" thickTop="1" thickBot="1">
      <c r="A8" s="66" t="s">
        <v>59</v>
      </c>
      <c r="B8" s="67"/>
      <c r="C8" s="401">
        <f t="shared" ref="C8:X8" si="0">SUM(C6:C7)</f>
        <v>0</v>
      </c>
      <c r="D8" s="402">
        <f t="shared" si="0"/>
        <v>0</v>
      </c>
      <c r="E8" s="401">
        <f t="shared" si="0"/>
        <v>0</v>
      </c>
      <c r="F8" s="402">
        <f t="shared" si="0"/>
        <v>0</v>
      </c>
      <c r="G8" s="401">
        <f t="shared" si="0"/>
        <v>0</v>
      </c>
      <c r="H8" s="402">
        <f t="shared" si="0"/>
        <v>0</v>
      </c>
      <c r="I8" s="401">
        <f t="shared" si="0"/>
        <v>0</v>
      </c>
      <c r="J8" s="402">
        <f t="shared" si="0"/>
        <v>0</v>
      </c>
      <c r="K8" s="401">
        <f t="shared" si="0"/>
        <v>0</v>
      </c>
      <c r="L8" s="402">
        <f t="shared" si="0"/>
        <v>0</v>
      </c>
      <c r="M8" s="401">
        <f t="shared" si="0"/>
        <v>0</v>
      </c>
      <c r="N8" s="402">
        <f t="shared" si="0"/>
        <v>0</v>
      </c>
      <c r="O8" s="401">
        <f t="shared" si="0"/>
        <v>0</v>
      </c>
      <c r="P8" s="402">
        <f t="shared" si="0"/>
        <v>0</v>
      </c>
      <c r="Q8" s="401">
        <f t="shared" si="0"/>
        <v>0</v>
      </c>
      <c r="R8" s="402">
        <f t="shared" si="0"/>
        <v>0</v>
      </c>
      <c r="S8" s="401">
        <f t="shared" si="0"/>
        <v>0</v>
      </c>
      <c r="T8" s="402">
        <f t="shared" si="0"/>
        <v>0</v>
      </c>
      <c r="U8" s="401">
        <f t="shared" si="0"/>
        <v>0</v>
      </c>
      <c r="V8" s="402">
        <f t="shared" si="0"/>
        <v>0</v>
      </c>
      <c r="W8" s="401">
        <f t="shared" si="0"/>
        <v>0</v>
      </c>
      <c r="X8" s="403">
        <f t="shared" si="0"/>
        <v>0</v>
      </c>
    </row>
    <row r="9" spans="1:24" s="35" customFormat="1" ht="19.5" customHeight="1">
      <c r="A9" s="16"/>
      <c r="B9" s="2"/>
      <c r="C9" s="3"/>
      <c r="D9" s="3"/>
      <c r="E9" s="3"/>
      <c r="F9" s="3"/>
      <c r="G9" s="3"/>
      <c r="H9" s="3"/>
      <c r="I9" s="3"/>
      <c r="J9" s="3"/>
      <c r="K9" s="70"/>
    </row>
    <row r="10" spans="1:24" s="3" customFormat="1">
      <c r="A10" s="16"/>
      <c r="B10" s="2"/>
    </row>
  </sheetData>
  <sheetProtection password="DD41" sheet="1" formatColumns="0" selectLockedCells="1"/>
  <mergeCells count="12">
    <mergeCell ref="S4:T4"/>
    <mergeCell ref="M4:N4"/>
    <mergeCell ref="O4:P4"/>
    <mergeCell ref="Q4:R4"/>
    <mergeCell ref="A1:V1"/>
    <mergeCell ref="C4:D4"/>
    <mergeCell ref="E4:F4"/>
    <mergeCell ref="G4:H4"/>
    <mergeCell ref="I4:J4"/>
    <mergeCell ref="P2:X2"/>
    <mergeCell ref="U4:V4"/>
    <mergeCell ref="K4:L4"/>
  </mergeCells>
  <phoneticPr fontId="29" type="noConversion"/>
  <printOptions horizontalCentered="1" verticalCentered="1"/>
  <pageMargins left="0" right="0" top="0.19685039370078741" bottom="0.15748031496062992" header="0.19685039370078741" footer="0.19685039370078741"/>
  <pageSetup paperSize="9" scale="7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32</vt:i4>
      </vt:variant>
      <vt:variant>
        <vt:lpstr>Intervalli denominati</vt:lpstr>
      </vt:variant>
      <vt:variant>
        <vt:i4>45</vt:i4>
      </vt:variant>
    </vt:vector>
  </HeadingPairs>
  <TitlesOfParts>
    <vt:vector size="77" baseType="lpstr">
      <vt:lpstr>SI_1</vt:lpstr>
      <vt:lpstr>t1</vt:lpstr>
      <vt:lpstr>t2</vt:lpstr>
      <vt:lpstr>t2A</vt:lpstr>
      <vt:lpstr>t3</vt:lpstr>
      <vt:lpstr>t4</vt:lpstr>
      <vt:lpstr>t5</vt:lpstr>
      <vt:lpstr>t6</vt:lpstr>
      <vt:lpstr>t7</vt:lpstr>
      <vt:lpstr>t8</vt:lpstr>
      <vt:lpstr>t9</vt:lpstr>
      <vt:lpstr>t10</vt:lpstr>
      <vt:lpstr>t11</vt:lpstr>
      <vt:lpstr>t12</vt:lpstr>
      <vt:lpstr>t13</vt:lpstr>
      <vt:lpstr>t14</vt:lpstr>
      <vt:lpstr>Tabella Riconciliazione</vt:lpstr>
      <vt:lpstr>Valori Medi</vt:lpstr>
      <vt:lpstr>Squadratura 1</vt:lpstr>
      <vt:lpstr>Squadratura 2</vt:lpstr>
      <vt:lpstr>Squadratura 3</vt:lpstr>
      <vt:lpstr>Squadratura 4</vt:lpstr>
      <vt:lpstr>Incongruenze 1 e 11</vt:lpstr>
      <vt:lpstr>Incongruenza 2</vt:lpstr>
      <vt:lpstr>Incongruenza 4 e controlli t14</vt:lpstr>
      <vt:lpstr>Incongruenza 5</vt:lpstr>
      <vt:lpstr>Incongruenza 6</vt:lpstr>
      <vt:lpstr>Incongruenza 7</vt:lpstr>
      <vt:lpstr>Incongruenza 8</vt:lpstr>
      <vt:lpstr>Incongruenza 10</vt:lpstr>
      <vt:lpstr>Incongruenze 12</vt:lpstr>
      <vt:lpstr>Incongruenza 14</vt:lpstr>
      <vt:lpstr>'Incongruenze 1 e 11'!Area_stampa</vt:lpstr>
      <vt:lpstr>'Incongruenze 12'!Area_stampa</vt:lpstr>
      <vt:lpstr>SI_1!Area_stampa</vt:lpstr>
      <vt:lpstr>'Squadratura 1'!Area_stampa</vt:lpstr>
      <vt:lpstr>'Squadratura 2'!Area_stampa</vt:lpstr>
      <vt:lpstr>'Squadratura 3'!Area_stampa</vt:lpstr>
      <vt:lpstr>'Squadratura 4'!Area_stampa</vt:lpstr>
      <vt:lpstr>'t1'!Area_stampa</vt:lpstr>
      <vt:lpstr>'t10'!Area_stampa</vt:lpstr>
      <vt:lpstr>'t11'!Area_stampa</vt:lpstr>
      <vt:lpstr>'t12'!Area_stampa</vt:lpstr>
      <vt:lpstr>'t13'!Area_stampa</vt:lpstr>
      <vt:lpstr>'t14'!Area_stampa</vt:lpstr>
      <vt:lpstr>t2A!Area_stampa</vt:lpstr>
      <vt:lpstr>'t3'!Area_stampa</vt:lpstr>
      <vt:lpstr>'t5'!Area_stampa</vt:lpstr>
      <vt:lpstr>'t7'!Area_stampa</vt:lpstr>
      <vt:lpstr>'t8'!Area_stampa</vt:lpstr>
      <vt:lpstr>'t9'!Area_stampa</vt:lpstr>
      <vt:lpstr>'Valori Medi'!Area_stampa</vt:lpstr>
      <vt:lpstr>'Incongruenza 2'!Titoli_stampa</vt:lpstr>
      <vt:lpstr>'Incongruenza 5'!Titoli_stampa</vt:lpstr>
      <vt:lpstr>'Incongruenza 6'!Titoli_stampa</vt:lpstr>
      <vt:lpstr>'Incongruenza 7'!Titoli_stampa</vt:lpstr>
      <vt:lpstr>'Incongruenza 8'!Titoli_stampa</vt:lpstr>
      <vt:lpstr>'Incongruenze 1 e 11'!Titoli_stampa</vt:lpstr>
      <vt:lpstr>'Incongruenze 12'!Titoli_stampa</vt:lpstr>
      <vt:lpstr>'Squadratura 1'!Titoli_stampa</vt:lpstr>
      <vt:lpstr>'Squadratura 2'!Titoli_stampa</vt:lpstr>
      <vt:lpstr>'Squadratura 3'!Titoli_stampa</vt:lpstr>
      <vt:lpstr>'Squadratura 4'!Titoli_stampa</vt:lpstr>
      <vt:lpstr>'t1'!Titoli_stampa</vt:lpstr>
      <vt:lpstr>'t10'!Titoli_stampa</vt:lpstr>
      <vt:lpstr>'t11'!Titoli_stampa</vt:lpstr>
      <vt:lpstr>'t12'!Titoli_stampa</vt:lpstr>
      <vt:lpstr>'t13'!Titoli_stampa</vt:lpstr>
      <vt:lpstr>'t2'!Titoli_stampa</vt:lpstr>
      <vt:lpstr>'t3'!Titoli_stampa</vt:lpstr>
      <vt:lpstr>'t4'!Titoli_stampa</vt:lpstr>
      <vt:lpstr>'t5'!Titoli_stampa</vt:lpstr>
      <vt:lpstr>'t6'!Titoli_stampa</vt:lpstr>
      <vt:lpstr>'t7'!Titoli_stampa</vt:lpstr>
      <vt:lpstr>'t8'!Titoli_stampa</vt:lpstr>
      <vt:lpstr>'t9'!Titoli_stampa</vt:lpstr>
      <vt:lpstr>'Valori Medi'!Titoli_stampa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 G. O. P. DIV.  VI</dc:creator>
  <cp:lastModifiedBy>Massimiliano Tosti</cp:lastModifiedBy>
  <cp:lastPrinted>2014-06-20T08:37:00Z</cp:lastPrinted>
  <dcterms:created xsi:type="dcterms:W3CDTF">1998-10-29T14:18:41Z</dcterms:created>
  <dcterms:modified xsi:type="dcterms:W3CDTF">2024-11-07T15:34:38Z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